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165" windowWidth="8085" windowHeight="12015" activeTab="0"/>
  </bookViews>
  <sheets>
    <sheet name="Live Calc" sheetId="1" r:id="rId1"/>
    <sheet name="Newton-Raphson Iteratio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<sst xmlns="http://schemas.openxmlformats.org/spreadsheetml/2006/main" count="216" uniqueCount="175">
  <si>
    <t>User Inputs in Orange</t>
  </si>
  <si>
    <t>Step</t>
  </si>
  <si>
    <t>Parameter</t>
  </si>
  <si>
    <t>Departure</t>
  </si>
  <si>
    <t>Target</t>
  </si>
  <si>
    <t>Earth</t>
  </si>
  <si>
    <t>Mars</t>
  </si>
  <si>
    <t xml:space="preserve">Planet </t>
  </si>
  <si>
    <t>Other</t>
  </si>
  <si>
    <t>Mercury</t>
  </si>
  <si>
    <t>Venus</t>
  </si>
  <si>
    <t>Jupiter</t>
  </si>
  <si>
    <t>Saturn</t>
  </si>
  <si>
    <t>Uranus</t>
  </si>
  <si>
    <t>Neptune</t>
  </si>
  <si>
    <t>Pluto</t>
  </si>
  <si>
    <t>Altitude of Parking Orbit (km)</t>
  </si>
  <si>
    <r>
      <t>μ</t>
    </r>
    <r>
      <rPr>
        <b/>
        <sz val="9"/>
        <rFont val="Geneva"/>
        <family val="0"/>
      </rPr>
      <t xml:space="preserve"> (km</t>
    </r>
    <r>
      <rPr>
        <b/>
        <vertAlign val="superscript"/>
        <sz val="9"/>
        <rFont val="Geneva"/>
        <family val="0"/>
      </rPr>
      <t>3</t>
    </r>
    <r>
      <rPr>
        <b/>
        <sz val="9"/>
        <rFont val="Geneva"/>
        <family val="0"/>
      </rPr>
      <t>/s</t>
    </r>
    <r>
      <rPr>
        <b/>
        <vertAlign val="superscript"/>
        <sz val="9"/>
        <rFont val="Geneva"/>
        <family val="0"/>
      </rPr>
      <t>2</t>
    </r>
    <r>
      <rPr>
        <b/>
        <sz val="9"/>
        <rFont val="Geneva"/>
        <family val="0"/>
      </rPr>
      <t>)</t>
    </r>
  </si>
  <si>
    <t>Constants and Conversion Factors</t>
  </si>
  <si>
    <r>
      <t>μ</t>
    </r>
    <r>
      <rPr>
        <b/>
        <vertAlign val="subscript"/>
        <sz val="10"/>
        <rFont val="Geneva"/>
        <family val="0"/>
      </rPr>
      <t>SUN</t>
    </r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</si>
  <si>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/s</t>
    </r>
    <r>
      <rPr>
        <vertAlign val="superscript"/>
        <sz val="10"/>
        <rFont val="Geneva"/>
        <family val="0"/>
      </rPr>
      <t>2</t>
    </r>
  </si>
  <si>
    <t>Value</t>
  </si>
  <si>
    <t>Mean Distance (km)</t>
  </si>
  <si>
    <t>Equatorial Radius (km)</t>
  </si>
  <si>
    <t>Unit</t>
  </si>
  <si>
    <t>km/s</t>
  </si>
  <si>
    <r>
      <t>Radius of Parking Orbit, r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(km)</t>
    </r>
  </si>
  <si>
    <t>1 yr</t>
  </si>
  <si>
    <t>sec</t>
  </si>
  <si>
    <t>Mean Distance from Sun (km)</t>
  </si>
  <si>
    <t>km</t>
  </si>
  <si>
    <t>deg</t>
  </si>
  <si>
    <t>(deg)</t>
  </si>
  <si>
    <t>1 rad</t>
  </si>
  <si>
    <r>
      <t>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</t>
    </r>
  </si>
  <si>
    <t>Implemented by Anthony Shao, Microcosm. Contact: bookproject@smad.com</t>
  </si>
  <si>
    <r>
      <t>V</t>
    </r>
    <r>
      <rPr>
        <b/>
        <i/>
        <vertAlign val="subscript"/>
        <sz val="10"/>
        <rFont val="Arial"/>
        <family val="2"/>
      </rPr>
      <t>dep</t>
    </r>
  </si>
  <si>
    <r>
      <t>V</t>
    </r>
    <r>
      <rPr>
        <b/>
        <i/>
        <vertAlign val="subscript"/>
        <sz val="10"/>
        <rFont val="Arial"/>
        <family val="2"/>
      </rPr>
      <t>tar</t>
    </r>
  </si>
  <si>
    <r>
      <t>V</t>
    </r>
    <r>
      <rPr>
        <b/>
        <i/>
        <vertAlign val="subscript"/>
        <sz val="10"/>
        <rFont val="Arial"/>
        <family val="2"/>
      </rPr>
      <t>c0</t>
    </r>
  </si>
  <si>
    <r>
      <t>V</t>
    </r>
    <r>
      <rPr>
        <b/>
        <i/>
        <vertAlign val="subscript"/>
        <sz val="10"/>
        <rFont val="Arial"/>
        <family val="2"/>
      </rPr>
      <t>c3</t>
    </r>
  </si>
  <si>
    <r>
      <t>V</t>
    </r>
    <r>
      <rPr>
        <b/>
        <i/>
        <vertAlign val="subscript"/>
        <sz val="10"/>
        <rFont val="Arial"/>
        <family val="2"/>
      </rPr>
      <t>1,rad</t>
    </r>
  </si>
  <si>
    <r>
      <t>V</t>
    </r>
    <r>
      <rPr>
        <b/>
        <i/>
        <vertAlign val="subscript"/>
        <sz val="10"/>
        <rFont val="Arial"/>
        <family val="2"/>
      </rPr>
      <t>1,tan</t>
    </r>
  </si>
  <si>
    <r>
      <t>a</t>
    </r>
    <r>
      <rPr>
        <b/>
        <i/>
        <vertAlign val="subscript"/>
        <sz val="10"/>
        <rFont val="Arial"/>
        <family val="2"/>
      </rPr>
      <t>tr</t>
    </r>
  </si>
  <si>
    <r>
      <t>V</t>
    </r>
    <r>
      <rPr>
        <b/>
        <i/>
        <vertAlign val="subscript"/>
        <sz val="10"/>
        <rFont val="Arial"/>
        <family val="2"/>
      </rPr>
      <t>2,tan</t>
    </r>
  </si>
  <si>
    <r>
      <t>V</t>
    </r>
    <r>
      <rPr>
        <b/>
        <i/>
        <vertAlign val="subscript"/>
        <sz val="10"/>
        <rFont val="Arial"/>
        <family val="2"/>
      </rPr>
      <t>2,rad</t>
    </r>
  </si>
  <si>
    <r>
      <t>V</t>
    </r>
    <r>
      <rPr>
        <b/>
        <i/>
        <vertAlign val="subscript"/>
        <sz val="10"/>
        <rFont val="Arial"/>
        <family val="2"/>
      </rPr>
      <t>inf,2</t>
    </r>
  </si>
  <si>
    <r>
      <t>V</t>
    </r>
    <r>
      <rPr>
        <b/>
        <i/>
        <vertAlign val="subscript"/>
        <sz val="10"/>
        <rFont val="Arial"/>
        <family val="2"/>
      </rPr>
      <t>0</t>
    </r>
  </si>
  <si>
    <r>
      <t>V</t>
    </r>
    <r>
      <rPr>
        <b/>
        <i/>
        <vertAlign val="subscript"/>
        <sz val="10"/>
        <rFont val="Arial"/>
        <family val="2"/>
      </rPr>
      <t>3</t>
    </r>
  </si>
  <si>
    <r>
      <t>Δ</t>
    </r>
    <r>
      <rPr>
        <b/>
        <i/>
        <sz val="10"/>
        <rFont val="Arial"/>
        <family val="2"/>
      </rPr>
      <t>V</t>
    </r>
    <r>
      <rPr>
        <b/>
        <i/>
        <vertAlign val="subscript"/>
        <sz val="10"/>
        <rFont val="Arial"/>
        <family val="2"/>
      </rPr>
      <t>0</t>
    </r>
  </si>
  <si>
    <r>
      <t>ΔV</t>
    </r>
    <r>
      <rPr>
        <b/>
        <i/>
        <vertAlign val="subscript"/>
        <sz val="10"/>
        <rFont val="Arial"/>
        <family val="2"/>
      </rPr>
      <t>3</t>
    </r>
  </si>
  <si>
    <r>
      <t>ΔV</t>
    </r>
    <r>
      <rPr>
        <b/>
        <i/>
        <vertAlign val="subscript"/>
        <sz val="10"/>
        <rFont val="Arial"/>
        <family val="2"/>
      </rPr>
      <t>tot</t>
    </r>
  </si>
  <si>
    <t>See text for discussion.</t>
  </si>
  <si>
    <r>
      <t>V</t>
    </r>
    <r>
      <rPr>
        <b/>
        <i/>
        <vertAlign val="subscript"/>
        <sz val="10"/>
        <rFont val="Arial"/>
        <family val="2"/>
      </rPr>
      <t>inf,1</t>
    </r>
  </si>
  <si>
    <t>c</t>
  </si>
  <si>
    <t>s</t>
  </si>
  <si>
    <t>T</t>
  </si>
  <si>
    <t>q</t>
  </si>
  <si>
    <t>x</t>
  </si>
  <si>
    <t>y</t>
  </si>
  <si>
    <t>z</t>
  </si>
  <si>
    <t>f</t>
  </si>
  <si>
    <t>9a</t>
  </si>
  <si>
    <t>9b</t>
  </si>
  <si>
    <t>9c</t>
  </si>
  <si>
    <t>9d</t>
  </si>
  <si>
    <t>9e</t>
  </si>
  <si>
    <t>9f</t>
  </si>
  <si>
    <t>g</t>
  </si>
  <si>
    <t>d</t>
  </si>
  <si>
    <t>γ</t>
  </si>
  <si>
    <t>ρ</t>
  </si>
  <si>
    <t>σ</t>
  </si>
  <si>
    <r>
      <t>E</t>
    </r>
    <r>
      <rPr>
        <b/>
        <i/>
        <vertAlign val="subscript"/>
        <sz val="10"/>
        <rFont val="Arial"/>
        <family val="2"/>
      </rPr>
      <t>lam</t>
    </r>
  </si>
  <si>
    <r>
      <t>Δ</t>
    </r>
    <r>
      <rPr>
        <b/>
        <i/>
        <sz val="10"/>
        <rFont val="Arial"/>
        <family val="2"/>
      </rPr>
      <t>t*</t>
    </r>
  </si>
  <si>
    <r>
      <t>Δ</t>
    </r>
    <r>
      <rPr>
        <b/>
        <i/>
        <sz val="10"/>
        <rFont val="Arial"/>
        <family val="2"/>
      </rPr>
      <t>θ*</t>
    </r>
  </si>
  <si>
    <t>AU [km]</t>
  </si>
  <si>
    <t>mu [km3/s2]</t>
  </si>
  <si>
    <t>r_1 [AU, km]</t>
  </si>
  <si>
    <t>c [km]</t>
  </si>
  <si>
    <t>s [km]</t>
  </si>
  <si>
    <t>T [-]</t>
  </si>
  <si>
    <t>q [-]</t>
  </si>
  <si>
    <t>r_2 [AU, km]</t>
  </si>
  <si>
    <t>iteration</t>
  </si>
  <si>
    <t>E_lam [-]</t>
  </si>
  <si>
    <t>dE_lam [-]</t>
  </si>
  <si>
    <t>y [-]</t>
  </si>
  <si>
    <t>dy [-]</t>
  </si>
  <si>
    <t>z [-]</t>
  </si>
  <si>
    <t>dz [-]</t>
  </si>
  <si>
    <t>f [-]</t>
  </si>
  <si>
    <t>df [-]</t>
  </si>
  <si>
    <t>g [-]</t>
  </si>
  <si>
    <t>dg [-]</t>
  </si>
  <si>
    <t>d [-]</t>
  </si>
  <si>
    <t>dd [-]</t>
  </si>
  <si>
    <t>q2 [-]</t>
  </si>
  <si>
    <t>factor_a [-]</t>
  </si>
  <si>
    <t>factor_b [-]</t>
  </si>
  <si>
    <t>teller [-]</t>
  </si>
  <si>
    <t>noemer [-]</t>
  </si>
  <si>
    <t>F [-]</t>
  </si>
  <si>
    <t>dteller [-]</t>
  </si>
  <si>
    <t>dnoemer [-]</t>
  </si>
  <si>
    <t>dF [-]</t>
  </si>
  <si>
    <t>delta_x [-]</t>
  </si>
  <si>
    <t>x_new [-]</t>
  </si>
  <si>
    <t>x_old [-]</t>
  </si>
  <si>
    <t>a [AU]</t>
  </si>
  <si>
    <t>rho [-]</t>
  </si>
  <si>
    <t>sigma [-]</t>
  </si>
  <si>
    <t>gamma [km2/s]</t>
  </si>
  <si>
    <t>a [km]</t>
  </si>
  <si>
    <t>V_rad,1 [km/s]</t>
  </si>
  <si>
    <t>V_tan,1 [km/s]</t>
  </si>
  <si>
    <t>V_rad,2 [km/s]</t>
  </si>
  <si>
    <t>V_tan,2 [km/s]</t>
  </si>
  <si>
    <t>V_tot,1 [km/s]</t>
  </si>
  <si>
    <t>V_tot,2 [km/s]</t>
  </si>
  <si>
    <t>x [-]</t>
  </si>
  <si>
    <t>Newton-Raphson:</t>
  </si>
  <si>
    <t>delta_theta [deg, rad]</t>
  </si>
  <si>
    <t>delta_theta/2 [rad]</t>
  </si>
  <si>
    <t>delta_time [days,sec]</t>
  </si>
  <si>
    <t>hulp [-]</t>
  </si>
  <si>
    <t>T(0) [-]</t>
  </si>
  <si>
    <t>T(0)-T [-]</t>
  </si>
  <si>
    <t>x(0) [-]</t>
  </si>
  <si>
    <t>Vc_2 [km/s]</t>
  </si>
  <si>
    <t>Vc_1 [km/s]</t>
  </si>
  <si>
    <t>V_inf_rad,1 [km/s]</t>
  </si>
  <si>
    <t>V_inf_tan,1 [km/s]</t>
  </si>
  <si>
    <t>V_inf_tot,1 [km/s]</t>
  </si>
  <si>
    <t>V_inf_rad,2 [km/s]</t>
  </si>
  <si>
    <t>V_inf_tan,2 [km/s]</t>
  </si>
  <si>
    <t>V_inf_tot,2 [km/s]</t>
  </si>
  <si>
    <t>mu_1 [km3/s2]</t>
  </si>
  <si>
    <t>mu_2 [km3/s2]</t>
  </si>
  <si>
    <t>rp_1 [km]</t>
  </si>
  <si>
    <t>rp_2 [km]</t>
  </si>
  <si>
    <t>r_par,1 [km]</t>
  </si>
  <si>
    <t>r_par,2 [km]</t>
  </si>
  <si>
    <t>Vc_par,1 [km/s]</t>
  </si>
  <si>
    <t>Vc_par,2 [km/s]</t>
  </si>
  <si>
    <t>Vesc_1 ** 2 [km2/s2]</t>
  </si>
  <si>
    <t>V_hyperbole,1 [km/s]</t>
  </si>
  <si>
    <t>delta V_0 [km/s]</t>
  </si>
  <si>
    <t>V_hyperbole,2 [km/s]</t>
  </si>
  <si>
    <t>delta V_3 [km/s]</t>
  </si>
  <si>
    <t>delta V_tot [km/s]</t>
  </si>
  <si>
    <t>Vesc_2 ** 2 [km2/s2]</t>
  </si>
  <si>
    <t>tof [sec]</t>
  </si>
  <si>
    <t>tof [days]</t>
  </si>
  <si>
    <t>Computation of T(0):</t>
  </si>
  <si>
    <t>Computation of x(0):</t>
  </si>
  <si>
    <t>Implemented by Ron Noomen.</t>
  </si>
  <si>
    <t>General data:</t>
  </si>
  <si>
    <r>
      <t>*For a lower and more realistic Δ</t>
    </r>
    <r>
      <rPr>
        <i/>
        <sz val="10"/>
        <rFont val="Arial"/>
        <family val="2"/>
      </rPr>
      <t>V</t>
    </r>
    <r>
      <rPr>
        <i/>
        <vertAlign val="subscript"/>
        <sz val="10"/>
        <rFont val="Arial"/>
        <family val="2"/>
      </rPr>
      <t>tot</t>
    </r>
    <r>
      <rPr>
        <sz val="10"/>
        <rFont val="Arial"/>
        <family val="0"/>
      </rPr>
      <t>, change the combination of Δ</t>
    </r>
    <r>
      <rPr>
        <i/>
        <sz val="10"/>
        <rFont val="Arial"/>
        <family val="2"/>
      </rPr>
      <t>θ</t>
    </r>
    <r>
      <rPr>
        <sz val="10"/>
        <rFont val="Arial"/>
        <family val="0"/>
      </rPr>
      <t xml:space="preserve"> and Δ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>, by using a planetary ephemeris.</t>
    </r>
  </si>
  <si>
    <r>
      <t>*For an accurate combination of Δ</t>
    </r>
    <r>
      <rPr>
        <i/>
        <sz val="10"/>
        <rFont val="Arial"/>
        <family val="2"/>
      </rPr>
      <t>θ and Δt</t>
    </r>
    <r>
      <rPr>
        <sz val="10"/>
        <rFont val="Arial"/>
        <family val="2"/>
      </rPr>
      <t>, use a planetary ephemeris.</t>
    </r>
  </si>
  <si>
    <t>Input for this computation:</t>
  </si>
  <si>
    <t>Hohmann Transfer:</t>
  </si>
  <si>
    <t>Constants for Lambert computation:</t>
  </si>
  <si>
    <t>(days)</t>
  </si>
  <si>
    <t>9*</t>
  </si>
  <si>
    <t>24**</t>
  </si>
  <si>
    <t>*Calculated using the Newton-Raphson Iteration</t>
  </si>
  <si>
    <t>G</t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</si>
  <si>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/kg-s</t>
    </r>
    <r>
      <rPr>
        <vertAlign val="superscript"/>
        <sz val="10"/>
        <rFont val="Geneva"/>
        <family val="0"/>
      </rPr>
      <t>2</t>
    </r>
  </si>
  <si>
    <t>AU</t>
  </si>
  <si>
    <t>1 day</t>
  </si>
  <si>
    <t>Mass of 'Other' Central Body (kg)</t>
  </si>
  <si>
    <t>Input a mass in P12 if you choose the 'Other' central body</t>
  </si>
  <si>
    <t>Choose any two lines from rows 3 to 12 in columns M through P and insert them in rows 17 and 18 of columns B through E</t>
  </si>
  <si>
    <t>Version 1. August 2, 2011. copyright, 2011, Microcosm, Inc.</t>
  </si>
  <si>
    <t>Table 10web-2. Summary of the Procedure to Compute the Characterisitcs of a Kepler Orbit Connecting Two Arbitrary Points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</si>
</sst>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E+00"/>
    <numFmt numFmtId="166" formatCode="#,##0.0000"/>
    <numFmt numFmtId="167" formatCode="0.0000E+00"/>
    <numFmt numFmtId="168" formatCode="0.000000E+00"/>
    <numFmt numFmtId="169" formatCode="0.00000000E+00"/>
    <numFmt numFmtId="170" formatCode="#,##0.0"/>
    <numFmt numFmtId="171" formatCode="0.00000E+00"/>
    <numFmt numFmtId="172" formatCode="0.0000"/>
    <numFmt numFmtId="173" formatCode="0.000"/>
    <numFmt numFmtId="174" formatCode="0.0"/>
    <numFmt numFmtId="175" formatCode="&quot;€&quot;#,##0_);\(&quot;€&quot;#,##0\)"/>
    <numFmt numFmtId="176" formatCode="&quot;€&quot;#,##0_);[Red]\(&quot;€&quot;#,##0\)"/>
    <numFmt numFmtId="177" formatCode="&quot;€&quot;#,##0.00_);\(&quot;€&quot;#,##0.00\)"/>
    <numFmt numFmtId="178" formatCode="&quot;€&quot;#,##0.00_);[Red]\(&quot;€&quot;#,##0.00\)"/>
    <numFmt numFmtId="179" formatCode="_(&quot;€&quot;* #,##0_);_(&quot;€&quot;* \(#,##0\);_(&quot;€&quot;* &quot;-&quot;_);_(@_)"/>
    <numFmt numFmtId="180" formatCode="_(&quot;€&quot;* #,##0.00_);_(&quot;€&quot;* \(#,##0.00\);_(&quot;€&quot;* &quot;-&quot;??_);_(@_)"/>
    <numFmt numFmtId="181" formatCode="0.00000"/>
    <numFmt numFmtId="182" formatCode="0.000000"/>
    <numFmt numFmtId="183" formatCode="0.0000000E+00"/>
    <numFmt numFmtId="184" formatCode="0.0E+00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Georgia"/>
      <family val="1"/>
    </font>
    <font>
      <b/>
      <sz val="9"/>
      <name val="Geneva"/>
      <family val="0"/>
    </font>
    <font>
      <b/>
      <vertAlign val="superscript"/>
      <sz val="9"/>
      <name val="Geneva"/>
      <family val="0"/>
    </font>
    <font>
      <sz val="10"/>
      <name val="Geneva"/>
      <family val="0"/>
    </font>
    <font>
      <b/>
      <vertAlign val="subscript"/>
      <sz val="10"/>
      <name val="Geneva"/>
      <family val="0"/>
    </font>
    <font>
      <vertAlign val="superscript"/>
      <sz val="10"/>
      <name val="Geneva"/>
      <family val="0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3"/>
      <name val="Arial"/>
      <family val="0"/>
    </font>
    <font>
      <b/>
      <sz val="2.5"/>
      <name val="Arial"/>
      <family val="0"/>
    </font>
    <font>
      <sz val="2.5"/>
      <name val="Arial"/>
      <family val="0"/>
    </font>
    <font>
      <sz val="8"/>
      <name val="Arial"/>
      <family val="0"/>
    </font>
    <font>
      <i/>
      <vertAlign val="subscript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65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8" fillId="0" borderId="1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65" fontId="16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3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0" fillId="0" borderId="1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1" fillId="3" borderId="8" xfId="0" applyFont="1" applyFill="1" applyBorder="1" applyAlignment="1">
      <alignment horizontal="left"/>
    </xf>
    <xf numFmtId="173" fontId="0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3" borderId="8" xfId="0" applyFont="1" applyFill="1" applyBorder="1" applyAlignment="1">
      <alignment/>
    </xf>
    <xf numFmtId="0" fontId="0" fillId="4" borderId="9" xfId="0" applyFill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168" fontId="0" fillId="5" borderId="9" xfId="0" applyNumberFormat="1" applyFill="1" applyBorder="1" applyAlignment="1">
      <alignment horizontal="right"/>
    </xf>
    <xf numFmtId="165" fontId="8" fillId="5" borderId="9" xfId="0" applyNumberFormat="1" applyFont="1" applyFill="1" applyBorder="1" applyAlignment="1">
      <alignment horizontal="center" vertical="center"/>
    </xf>
    <xf numFmtId="170" fontId="8" fillId="5" borderId="9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/>
    </xf>
    <xf numFmtId="183" fontId="0" fillId="0" borderId="5" xfId="0" applyNumberFormat="1" applyBorder="1" applyAlignment="1">
      <alignment/>
    </xf>
    <xf numFmtId="0" fontId="0" fillId="3" borderId="8" xfId="0" applyFill="1" applyBorder="1" applyAlignment="1">
      <alignment/>
    </xf>
    <xf numFmtId="183" fontId="0" fillId="0" borderId="10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1" xfId="0" applyNumberFormat="1" applyFont="1" applyBorder="1" applyAlignment="1">
      <alignment/>
    </xf>
    <xf numFmtId="173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3" borderId="6" xfId="0" applyFill="1" applyBorder="1" applyAlignment="1">
      <alignment/>
    </xf>
    <xf numFmtId="1" fontId="0" fillId="0" borderId="7" xfId="0" applyNumberFormat="1" applyBorder="1" applyAlignment="1">
      <alignment/>
    </xf>
    <xf numFmtId="0" fontId="0" fillId="3" borderId="6" xfId="0" applyFont="1" applyFill="1" applyBorder="1" applyAlignment="1">
      <alignment/>
    </xf>
    <xf numFmtId="173" fontId="0" fillId="0" borderId="7" xfId="0" applyNumberFormat="1" applyFon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5" xfId="0" applyNumberFormat="1" applyBorder="1" applyAlignment="1">
      <alignment/>
    </xf>
    <xf numFmtId="165" fontId="8" fillId="0" borderId="7" xfId="0" applyNumberFormat="1" applyFont="1" applyBorder="1" applyAlignment="1">
      <alignment horizontal="right" vertical="center"/>
    </xf>
    <xf numFmtId="1" fontId="0" fillId="0" borderId="10" xfId="0" applyNumberFormat="1" applyBorder="1" applyAlignment="1">
      <alignment/>
    </xf>
    <xf numFmtId="173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0" xfId="0" applyNumberFormat="1" applyBorder="1" applyAlignment="1">
      <alignment/>
    </xf>
    <xf numFmtId="11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11" fontId="0" fillId="0" borderId="7" xfId="0" applyNumberFormat="1" applyBorder="1" applyAlignment="1">
      <alignment/>
    </xf>
    <xf numFmtId="181" fontId="0" fillId="0" borderId="7" xfId="0" applyNumberFormat="1" applyBorder="1" applyAlignment="1">
      <alignment/>
    </xf>
    <xf numFmtId="11" fontId="0" fillId="0" borderId="10" xfId="0" applyNumberFormat="1" applyBorder="1" applyAlignment="1">
      <alignment/>
    </xf>
    <xf numFmtId="11" fontId="0" fillId="0" borderId="5" xfId="0" applyNumberFormat="1" applyBorder="1" applyAlignment="1">
      <alignment/>
    </xf>
    <xf numFmtId="0" fontId="1" fillId="3" borderId="11" xfId="0" applyFont="1" applyFill="1" applyBorder="1" applyAlignment="1">
      <alignment/>
    </xf>
    <xf numFmtId="0" fontId="1" fillId="5" borderId="12" xfId="0" applyFont="1" applyFill="1" applyBorder="1" applyAlignment="1">
      <alignment horizontal="left"/>
    </xf>
    <xf numFmtId="168" fontId="0" fillId="5" borderId="12" xfId="0" applyNumberFormat="1" applyFill="1" applyBorder="1" applyAlignment="1">
      <alignment horizontal="right"/>
    </xf>
    <xf numFmtId="165" fontId="8" fillId="5" borderId="12" xfId="0" applyNumberFormat="1" applyFont="1" applyFill="1" applyBorder="1" applyAlignment="1">
      <alignment horizontal="center" vertical="center" wrapText="1"/>
    </xf>
    <xf numFmtId="170" fontId="8" fillId="5" borderId="1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173" fontId="0" fillId="0" borderId="10" xfId="0" applyNumberFormat="1" applyBorder="1" applyAlignment="1">
      <alignment/>
    </xf>
    <xf numFmtId="0" fontId="1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171" fontId="0" fillId="0" borderId="13" xfId="0" applyNumberFormat="1" applyFill="1" applyBorder="1" applyAlignment="1">
      <alignment/>
    </xf>
    <xf numFmtId="0" fontId="8" fillId="0" borderId="14" xfId="0" applyFont="1" applyFill="1" applyBorder="1" applyAlignment="1">
      <alignment/>
    </xf>
    <xf numFmtId="0" fontId="1" fillId="6" borderId="6" xfId="0" applyFont="1" applyFill="1" applyBorder="1" applyAlignment="1">
      <alignment horizontal="left"/>
    </xf>
    <xf numFmtId="168" fontId="8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165" fontId="8" fillId="0" borderId="15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7" borderId="6" xfId="0" applyFont="1" applyFill="1" applyBorder="1" applyAlignment="1">
      <alignment horizontal="left"/>
    </xf>
    <xf numFmtId="170" fontId="8" fillId="0" borderId="7" xfId="0" applyNumberFormat="1" applyFont="1" applyBorder="1" applyAlignment="1">
      <alignment horizontal="center" vertical="center" wrapText="1"/>
    </xf>
    <xf numFmtId="170" fontId="8" fillId="0" borderId="7" xfId="0" applyNumberFormat="1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left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/>
    </xf>
    <xf numFmtId="165" fontId="8" fillId="0" borderId="9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174" fontId="0" fillId="4" borderId="12" xfId="0" applyNumberFormat="1" applyFont="1" applyFill="1" applyBorder="1" applyAlignment="1">
      <alignment horizontal="center"/>
    </xf>
    <xf numFmtId="174" fontId="0" fillId="4" borderId="9" xfId="0" applyNumberFormat="1" applyFont="1" applyFill="1" applyBorder="1" applyAlignment="1">
      <alignment horizontal="center"/>
    </xf>
    <xf numFmtId="174" fontId="0" fillId="4" borderId="21" xfId="0" applyNumberFormat="1" applyFont="1" applyFill="1" applyBorder="1" applyAlignment="1">
      <alignment horizontal="center"/>
    </xf>
    <xf numFmtId="174" fontId="0" fillId="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" fillId="3" borderId="2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2" fontId="8" fillId="9" borderId="6" xfId="0" applyNumberFormat="1" applyFont="1" applyFill="1" applyBorder="1" applyAlignment="1">
      <alignment/>
    </xf>
    <xf numFmtId="2" fontId="8" fillId="9" borderId="1" xfId="0" applyNumberFormat="1" applyFont="1" applyFill="1" applyBorder="1" applyAlignment="1">
      <alignment/>
    </xf>
    <xf numFmtId="2" fontId="8" fillId="9" borderId="7" xfId="0" applyNumberFormat="1" applyFont="1" applyFill="1" applyBorder="1" applyAlignment="1">
      <alignment/>
    </xf>
    <xf numFmtId="0" fontId="2" fillId="4" borderId="3" xfId="22" applyFont="1" applyFill="1" applyBorder="1" applyAlignment="1">
      <alignment horizontal="center" vertical="center" wrapText="1"/>
      <protection/>
    </xf>
    <xf numFmtId="0" fontId="2" fillId="4" borderId="4" xfId="22" applyFont="1" applyFill="1" applyBorder="1" applyAlignment="1">
      <alignment horizontal="center" vertical="center" wrapText="1"/>
      <protection/>
    </xf>
    <xf numFmtId="0" fontId="2" fillId="4" borderId="5" xfId="22" applyFont="1" applyFill="1" applyBorder="1" applyAlignment="1">
      <alignment horizontal="center" vertical="center" wrapText="1"/>
      <protection/>
    </xf>
    <xf numFmtId="0" fontId="0" fillId="5" borderId="6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5" borderId="7" xfId="0" applyFont="1" applyFill="1" applyBorder="1" applyAlignment="1">
      <alignment wrapText="1"/>
    </xf>
    <xf numFmtId="0" fontId="0" fillId="5" borderId="8" xfId="0" applyFont="1" applyFill="1" applyBorder="1" applyAlignment="1">
      <alignment wrapText="1"/>
    </xf>
    <xf numFmtId="0" fontId="0" fillId="5" borderId="9" xfId="0" applyFont="1" applyFill="1" applyBorder="1" applyAlignment="1">
      <alignment wrapText="1"/>
    </xf>
    <xf numFmtId="0" fontId="0" fillId="5" borderId="10" xfId="0" applyFont="1" applyFill="1" applyBorder="1" applyAlignment="1">
      <alignment wrapText="1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wrapText="1"/>
    </xf>
    <xf numFmtId="0" fontId="2" fillId="9" borderId="25" xfId="0" applyFont="1" applyFill="1" applyBorder="1" applyAlignment="1">
      <alignment horizontal="center" wrapText="1"/>
    </xf>
    <xf numFmtId="0" fontId="2" fillId="9" borderId="26" xfId="0" applyFont="1" applyFill="1" applyBorder="1" applyAlignment="1">
      <alignment horizontal="center" wrapText="1"/>
    </xf>
    <xf numFmtId="11" fontId="0" fillId="4" borderId="27" xfId="0" applyNumberForma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left" vertical="center" wrapText="1"/>
    </xf>
    <xf numFmtId="0" fontId="1" fillId="6" borderId="28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171" fontId="0" fillId="0" borderId="1" xfId="0" applyNumberFormat="1" applyBorder="1" applyAlignment="1">
      <alignment horizontal="right"/>
    </xf>
    <xf numFmtId="171" fontId="0" fillId="4" borderId="9" xfId="0" applyNumberFormat="1" applyFill="1" applyBorder="1" applyAlignment="1">
      <alignment horizontal="right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표준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semi-major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823854"/>
        <c:axId val="17979231"/>
      </c:scatterChart>
      <c:valAx>
        <c:axId val="3182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time [days]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79231"/>
        <c:crosses val="autoZero"/>
        <c:crossBetween val="midCat"/>
        <c:dispUnits/>
      </c:valAx>
      <c:valAx>
        <c:axId val="17979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semi-major axis [km]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0E+00" sourceLinked="0"/>
        <c:majorTickMark val="out"/>
        <c:minorTickMark val="none"/>
        <c:tickLblPos val="nextTo"/>
        <c:crossAx val="318238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10</xdr:row>
      <xdr:rowOff>0</xdr:rowOff>
    </xdr:from>
    <xdr:to>
      <xdr:col>8</xdr:col>
      <xdr:colOff>142875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714500" y="1647825"/>
        <a:ext cx="5953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%20to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421875" style="0" customWidth="1"/>
    <col min="3" max="3" width="15.8515625" style="0" customWidth="1"/>
    <col min="4" max="4" width="11.8515625" style="0" customWidth="1"/>
    <col min="5" max="5" width="10.7109375" style="0" customWidth="1"/>
    <col min="6" max="6" width="10.140625" style="0" customWidth="1"/>
    <col min="7" max="7" width="12.7109375" style="0" customWidth="1"/>
    <col min="8" max="8" width="9.8515625" style="0" customWidth="1"/>
    <col min="9" max="9" width="10.00390625" style="0" customWidth="1"/>
    <col min="10" max="11" width="9.57421875" style="0" customWidth="1"/>
    <col min="12" max="12" width="11.421875" style="0" customWidth="1"/>
    <col min="13" max="13" width="14.8515625" style="0" customWidth="1"/>
    <col min="14" max="15" width="11.57421875" style="0" customWidth="1"/>
    <col min="16" max="16" width="13.7109375" style="0" customWidth="1"/>
    <col min="17" max="17" width="13.421875" style="0" customWidth="1"/>
    <col min="18" max="18" width="13.57421875" style="0" customWidth="1"/>
  </cols>
  <sheetData>
    <row r="1" spans="1:19" ht="12.75" customHeight="1">
      <c r="A1" s="1" t="s">
        <v>174</v>
      </c>
      <c r="L1" s="119" t="s">
        <v>7</v>
      </c>
      <c r="M1" s="121" t="s">
        <v>22</v>
      </c>
      <c r="N1" s="123" t="s">
        <v>17</v>
      </c>
      <c r="O1" s="117" t="s">
        <v>23</v>
      </c>
      <c r="Q1" s="147" t="s">
        <v>18</v>
      </c>
      <c r="R1" s="115"/>
      <c r="S1" s="116"/>
    </row>
    <row r="2" spans="1:19" ht="12.75" customHeight="1">
      <c r="A2" t="s">
        <v>35</v>
      </c>
      <c r="L2" s="120"/>
      <c r="M2" s="122"/>
      <c r="N2" s="124"/>
      <c r="O2" s="118"/>
      <c r="Q2" s="148" t="s">
        <v>19</v>
      </c>
      <c r="R2" s="91">
        <v>132712441000</v>
      </c>
      <c r="S2" s="96" t="s">
        <v>20</v>
      </c>
    </row>
    <row r="3" spans="1:19" ht="12.75">
      <c r="A3" t="s">
        <v>173</v>
      </c>
      <c r="L3" s="100" t="s">
        <v>9</v>
      </c>
      <c r="M3" s="151">
        <v>57909175.678248346</v>
      </c>
      <c r="N3" s="2">
        <v>22032.1</v>
      </c>
      <c r="O3" s="101">
        <v>2439.7</v>
      </c>
      <c r="Q3" s="149" t="s">
        <v>27</v>
      </c>
      <c r="R3" s="92">
        <v>31558150</v>
      </c>
      <c r="S3" s="97" t="s">
        <v>28</v>
      </c>
    </row>
    <row r="4" spans="1:19" ht="12.75">
      <c r="A4" s="11" t="s">
        <v>51</v>
      </c>
      <c r="L4" s="100" t="s">
        <v>10</v>
      </c>
      <c r="M4" s="151">
        <v>108207429.53448668</v>
      </c>
      <c r="N4" s="2">
        <v>324858.5917</v>
      </c>
      <c r="O4" s="101">
        <v>6051.8</v>
      </c>
      <c r="Q4" s="149" t="s">
        <v>33</v>
      </c>
      <c r="R4" s="94">
        <f>180/PI()</f>
        <v>57.29577951308232</v>
      </c>
      <c r="S4" s="97" t="s">
        <v>31</v>
      </c>
    </row>
    <row r="5" spans="12:19" ht="13.5" thickBot="1">
      <c r="L5" s="90" t="s">
        <v>5</v>
      </c>
      <c r="M5" s="151">
        <v>149597887.15576577</v>
      </c>
      <c r="N5" s="2">
        <v>398600.4356</v>
      </c>
      <c r="O5" s="102">
        <v>6378.1366</v>
      </c>
      <c r="Q5" s="149" t="s">
        <v>169</v>
      </c>
      <c r="R5" s="95">
        <v>86400</v>
      </c>
      <c r="S5" s="98" t="s">
        <v>28</v>
      </c>
    </row>
    <row r="6" spans="1:19" ht="12.75" customHeight="1">
      <c r="A6" s="128" t="s">
        <v>0</v>
      </c>
      <c r="B6" s="129"/>
      <c r="C6" s="129"/>
      <c r="D6" s="130"/>
      <c r="L6" s="103" t="s">
        <v>6</v>
      </c>
      <c r="M6" s="151">
        <v>227936637.24184328</v>
      </c>
      <c r="N6" s="5">
        <v>42828.37522</v>
      </c>
      <c r="O6" s="101">
        <v>3396.2</v>
      </c>
      <c r="Q6" s="90" t="s">
        <v>168</v>
      </c>
      <c r="R6" s="93">
        <v>149597870.7</v>
      </c>
      <c r="S6" s="99" t="s">
        <v>30</v>
      </c>
    </row>
    <row r="7" spans="1:19" ht="15" customHeight="1" thickBot="1">
      <c r="A7" s="125" t="s">
        <v>171</v>
      </c>
      <c r="B7" s="126"/>
      <c r="C7" s="126"/>
      <c r="D7" s="127"/>
      <c r="L7" s="103" t="s">
        <v>11</v>
      </c>
      <c r="M7" s="151">
        <v>778412026.7751428</v>
      </c>
      <c r="N7" s="5">
        <v>126712762.6</v>
      </c>
      <c r="O7" s="104">
        <v>71492</v>
      </c>
      <c r="Q7" s="150" t="s">
        <v>166</v>
      </c>
      <c r="R7" s="88">
        <v>6.67428E-20</v>
      </c>
      <c r="S7" s="89" t="s">
        <v>167</v>
      </c>
    </row>
    <row r="8" spans="1:15" ht="12.75" customHeight="1" thickBot="1">
      <c r="A8" s="131" t="s">
        <v>172</v>
      </c>
      <c r="B8" s="132"/>
      <c r="C8" s="132"/>
      <c r="D8" s="133"/>
      <c r="L8" s="103" t="s">
        <v>12</v>
      </c>
      <c r="M8" s="151">
        <v>1426725412.5881674</v>
      </c>
      <c r="N8" s="5">
        <v>37940584.9</v>
      </c>
      <c r="O8" s="104">
        <v>60268</v>
      </c>
    </row>
    <row r="9" spans="1:16" ht="12.75" customHeight="1">
      <c r="A9" s="131"/>
      <c r="B9" s="132"/>
      <c r="C9" s="132"/>
      <c r="D9" s="133"/>
      <c r="L9" s="103" t="s">
        <v>13</v>
      </c>
      <c r="M9" s="151">
        <v>2870972219.9697137</v>
      </c>
      <c r="N9" s="5">
        <v>5794549</v>
      </c>
      <c r="O9" s="104">
        <v>25559</v>
      </c>
      <c r="P9" s="143" t="s">
        <v>170</v>
      </c>
    </row>
    <row r="10" spans="1:16" ht="12.75" customHeight="1" thickBot="1">
      <c r="A10" s="134"/>
      <c r="B10" s="135"/>
      <c r="C10" s="135"/>
      <c r="D10" s="136"/>
      <c r="L10" s="103" t="s">
        <v>14</v>
      </c>
      <c r="M10" s="151">
        <v>4498252910.764062</v>
      </c>
      <c r="N10" s="6">
        <v>6836527</v>
      </c>
      <c r="O10" s="105">
        <v>24764</v>
      </c>
      <c r="P10" s="144"/>
    </row>
    <row r="11" spans="12:16" ht="13.5" thickBot="1">
      <c r="L11" s="103" t="s">
        <v>15</v>
      </c>
      <c r="M11" s="151">
        <v>5906376272.43636</v>
      </c>
      <c r="N11" s="2">
        <v>971.78</v>
      </c>
      <c r="O11" s="105">
        <v>1195</v>
      </c>
      <c r="P11" s="145"/>
    </row>
    <row r="12" spans="1:16" ht="26.25" customHeight="1" thickBot="1">
      <c r="A12" s="137"/>
      <c r="B12" s="157" t="s">
        <v>7</v>
      </c>
      <c r="C12" s="157" t="s">
        <v>29</v>
      </c>
      <c r="D12" s="139" t="s">
        <v>17</v>
      </c>
      <c r="E12" s="141" t="s">
        <v>23</v>
      </c>
      <c r="F12" s="157" t="s">
        <v>16</v>
      </c>
      <c r="G12" s="158" t="s">
        <v>26</v>
      </c>
      <c r="H12" s="153" t="s">
        <v>73</v>
      </c>
      <c r="I12" s="154" t="s">
        <v>74</v>
      </c>
      <c r="L12" s="106" t="s">
        <v>8</v>
      </c>
      <c r="M12" s="152">
        <v>149597887.15576577</v>
      </c>
      <c r="N12" s="107">
        <f>R7*P12</f>
        <v>66742.8</v>
      </c>
      <c r="O12" s="108">
        <v>5000</v>
      </c>
      <c r="P12" s="146">
        <f>10^24</f>
        <v>1E+24</v>
      </c>
    </row>
    <row r="13" spans="1:12" ht="13.5" customHeight="1">
      <c r="A13" s="138"/>
      <c r="B13" s="159"/>
      <c r="C13" s="159"/>
      <c r="D13" s="140"/>
      <c r="E13" s="142"/>
      <c r="F13" s="159"/>
      <c r="G13" s="160"/>
      <c r="H13" s="155" t="s">
        <v>162</v>
      </c>
      <c r="I13" s="156" t="s">
        <v>32</v>
      </c>
      <c r="J13" s="8"/>
      <c r="K13" s="8"/>
      <c r="L13" s="9"/>
    </row>
    <row r="14" spans="1:11" ht="29.25" customHeight="1">
      <c r="A14" s="75" t="s">
        <v>3</v>
      </c>
      <c r="B14" s="76" t="s">
        <v>5</v>
      </c>
      <c r="C14" s="77">
        <v>149597887.15576577</v>
      </c>
      <c r="D14" s="78">
        <v>398600.4356</v>
      </c>
      <c r="E14" s="79">
        <v>6378.1366</v>
      </c>
      <c r="F14" s="80">
        <v>185</v>
      </c>
      <c r="G14" s="81">
        <f>E14+F14</f>
        <v>6563.1366</v>
      </c>
      <c r="H14" s="109">
        <v>95</v>
      </c>
      <c r="I14" s="111">
        <v>90</v>
      </c>
      <c r="J14" s="8"/>
      <c r="K14" s="8"/>
    </row>
    <row r="15" spans="1:11" ht="13.5" thickBot="1">
      <c r="A15" s="43" t="s">
        <v>4</v>
      </c>
      <c r="B15" s="46" t="s">
        <v>6</v>
      </c>
      <c r="C15" s="47">
        <v>227936637.24184328</v>
      </c>
      <c r="D15" s="48">
        <v>42828.37522</v>
      </c>
      <c r="E15" s="49">
        <v>3396.2</v>
      </c>
      <c r="F15" s="44">
        <v>500</v>
      </c>
      <c r="G15" s="45">
        <f>E15+F15</f>
        <v>3896.2</v>
      </c>
      <c r="H15" s="110"/>
      <c r="I15" s="112"/>
      <c r="J15" s="10"/>
      <c r="K15" s="10"/>
    </row>
    <row r="16" spans="1:11" ht="12.75">
      <c r="A16" t="s">
        <v>158</v>
      </c>
      <c r="J16" s="10"/>
      <c r="K16" s="10"/>
    </row>
    <row r="17" ht="13.5" thickBot="1"/>
    <row r="18" spans="1:4" ht="12.75">
      <c r="A18" s="33" t="s">
        <v>1</v>
      </c>
      <c r="B18" s="34" t="s">
        <v>2</v>
      </c>
      <c r="C18" s="35" t="s">
        <v>21</v>
      </c>
      <c r="D18" s="36" t="s">
        <v>24</v>
      </c>
    </row>
    <row r="19" spans="1:6" ht="15.75" customHeight="1">
      <c r="A19" s="37">
        <v>1</v>
      </c>
      <c r="B19" s="85" t="s">
        <v>36</v>
      </c>
      <c r="C19" s="16">
        <f>SQRT(R2/C14)</f>
        <v>29.784690303734155</v>
      </c>
      <c r="D19" s="38" t="s">
        <v>25</v>
      </c>
      <c r="F19" s="4"/>
    </row>
    <row r="20" spans="1:4" ht="15.75" customHeight="1">
      <c r="A20" s="37">
        <v>2</v>
      </c>
      <c r="B20" s="85" t="s">
        <v>37</v>
      </c>
      <c r="C20" s="16">
        <f>SQRT(R2/C15)</f>
        <v>24.129523750656546</v>
      </c>
      <c r="D20" s="38" t="s">
        <v>25</v>
      </c>
    </row>
    <row r="21" spans="1:4" ht="15.75" customHeight="1">
      <c r="A21" s="37">
        <v>3</v>
      </c>
      <c r="B21" s="85" t="s">
        <v>38</v>
      </c>
      <c r="C21" s="16">
        <f>SQRT(D14/G14)</f>
        <v>7.793152284317202</v>
      </c>
      <c r="D21" s="38" t="s">
        <v>25</v>
      </c>
    </row>
    <row r="22" spans="1:6" ht="15.75" customHeight="1">
      <c r="A22" s="37">
        <v>4</v>
      </c>
      <c r="B22" s="85" t="s">
        <v>39</v>
      </c>
      <c r="C22" s="16">
        <f>SQRT(D15/G15)</f>
        <v>3.315470579262116</v>
      </c>
      <c r="D22" s="38" t="s">
        <v>25</v>
      </c>
      <c r="F22" s="3"/>
    </row>
    <row r="23" spans="1:4" ht="15.75" customHeight="1">
      <c r="A23" s="37">
        <v>5</v>
      </c>
      <c r="B23" s="85" t="s">
        <v>53</v>
      </c>
      <c r="C23" s="17">
        <f>SQRT((C14^2+C15^2+2*C14*C15*COS(I14/R4)))</f>
        <v>272643794.0584544</v>
      </c>
      <c r="D23" s="38" t="s">
        <v>30</v>
      </c>
    </row>
    <row r="24" spans="1:4" ht="15.75" customHeight="1">
      <c r="A24" s="37">
        <v>6</v>
      </c>
      <c r="B24" s="85" t="s">
        <v>54</v>
      </c>
      <c r="C24" s="17">
        <f>(C14+C15+C23)/2</f>
        <v>325089159.22803175</v>
      </c>
      <c r="D24" s="38" t="s">
        <v>30</v>
      </c>
    </row>
    <row r="25" spans="1:6" ht="15.75" customHeight="1">
      <c r="A25" s="37">
        <v>7</v>
      </c>
      <c r="B25" s="85" t="s">
        <v>55</v>
      </c>
      <c r="C25" s="16">
        <f>SQRT((8*R2/C24^3))*H14*R5</f>
        <v>1.4428940049563324</v>
      </c>
      <c r="D25" s="38"/>
      <c r="F25" s="7"/>
    </row>
    <row r="26" spans="1:4" ht="15.75" customHeight="1">
      <c r="A26" s="37">
        <v>8</v>
      </c>
      <c r="B26" s="85" t="s">
        <v>56</v>
      </c>
      <c r="C26" s="16">
        <f>SQRT(C14*C15)*COS(I14/2/R4)/C24</f>
        <v>0.4016542005231919</v>
      </c>
      <c r="D26" s="38"/>
    </row>
    <row r="27" spans="1:5" ht="15.75" customHeight="1">
      <c r="A27" s="37" t="s">
        <v>163</v>
      </c>
      <c r="B27" s="85" t="s">
        <v>57</v>
      </c>
      <c r="C27" s="32">
        <f>'Newton-Raphson Iteration'!B50</f>
        <v>0.7834237463517464</v>
      </c>
      <c r="D27" s="38"/>
      <c r="E27" s="14"/>
    </row>
    <row r="28" spans="1:6" ht="15.75" customHeight="1">
      <c r="A28" s="37" t="s">
        <v>61</v>
      </c>
      <c r="B28" s="85" t="s">
        <v>72</v>
      </c>
      <c r="C28" s="18">
        <f>C27^2-1</f>
        <v>-0.3862472336521945</v>
      </c>
      <c r="D28" s="39"/>
      <c r="E28" s="13"/>
      <c r="F28" s="13"/>
    </row>
    <row r="29" spans="1:6" ht="15.75" customHeight="1">
      <c r="A29" s="37" t="s">
        <v>62</v>
      </c>
      <c r="B29" s="85" t="s">
        <v>58</v>
      </c>
      <c r="C29" s="18">
        <f>SQRT(ABS(C28))</f>
        <v>0.6214879191522507</v>
      </c>
      <c r="D29" s="39"/>
      <c r="E29" s="13"/>
      <c r="F29" s="13"/>
    </row>
    <row r="30" spans="1:6" ht="15.75" customHeight="1">
      <c r="A30" s="37" t="s">
        <v>63</v>
      </c>
      <c r="B30" s="85" t="s">
        <v>59</v>
      </c>
      <c r="C30" s="18">
        <f>SQRT(1-C26^2+C26^2*C27^2)</f>
        <v>0.968343039111603</v>
      </c>
      <c r="D30" s="39"/>
      <c r="E30" s="13"/>
      <c r="F30" s="13"/>
    </row>
    <row r="31" spans="1:6" ht="15.75" customHeight="1">
      <c r="A31" s="37" t="s">
        <v>64</v>
      </c>
      <c r="B31" s="85" t="s">
        <v>60</v>
      </c>
      <c r="C31" s="18">
        <f>C29*(C30-C26*C27)</f>
        <v>0.4062527317932109</v>
      </c>
      <c r="D31" s="39"/>
      <c r="E31" s="13"/>
      <c r="F31" s="13"/>
    </row>
    <row r="32" spans="1:6" ht="15.75" customHeight="1">
      <c r="A32" s="37" t="s">
        <v>65</v>
      </c>
      <c r="B32" s="85" t="s">
        <v>67</v>
      </c>
      <c r="C32" s="18">
        <f>C27*C30-C26*C28</f>
        <v>0.9137607552913144</v>
      </c>
      <c r="D32" s="39"/>
      <c r="E32" s="13"/>
      <c r="F32" s="13"/>
    </row>
    <row r="33" spans="1:6" ht="15.75" customHeight="1">
      <c r="A33" s="37" t="s">
        <v>66</v>
      </c>
      <c r="B33" s="85" t="s">
        <v>68</v>
      </c>
      <c r="C33" s="18">
        <f>IF(C28&lt;0,ATAN(C31/C32),LN(C31+C32))</f>
        <v>0.4183493760568649</v>
      </c>
      <c r="D33" s="39"/>
      <c r="E33" s="13"/>
      <c r="F33" s="13"/>
    </row>
    <row r="34" spans="1:4" ht="15.75" customHeight="1">
      <c r="A34" s="37">
        <v>10</v>
      </c>
      <c r="B34" s="85" t="s">
        <v>42</v>
      </c>
      <c r="C34" s="17">
        <f>C24/(2*(1-C27^2))</f>
        <v>420830404.6013777</v>
      </c>
      <c r="D34" s="38" t="s">
        <v>30</v>
      </c>
    </row>
    <row r="35" spans="1:6" ht="15.75" customHeight="1">
      <c r="A35" s="37">
        <v>11</v>
      </c>
      <c r="B35" s="85" t="s">
        <v>69</v>
      </c>
      <c r="C35" s="17">
        <f>SQRT(R2*C24/2)</f>
        <v>4644533123.134648</v>
      </c>
      <c r="D35" s="38" t="s">
        <v>34</v>
      </c>
      <c r="E35" s="14"/>
      <c r="F35" s="14"/>
    </row>
    <row r="36" spans="1:7" ht="15.75" customHeight="1">
      <c r="A36" s="37">
        <v>12</v>
      </c>
      <c r="B36" s="85" t="s">
        <v>70</v>
      </c>
      <c r="C36" s="16">
        <f>(C14-C15)/C23</f>
        <v>-0.2873300320537713</v>
      </c>
      <c r="D36" s="38"/>
      <c r="E36" s="14"/>
      <c r="F36" s="14"/>
      <c r="G36" s="14"/>
    </row>
    <row r="37" spans="1:7" ht="15.75" customHeight="1">
      <c r="A37" s="37">
        <v>13</v>
      </c>
      <c r="B37" s="85" t="s">
        <v>71</v>
      </c>
      <c r="C37" s="16">
        <f>2*SQRT(C14*C15/C23^2)*SIN(I14/2/R4)</f>
        <v>0.957831641093558</v>
      </c>
      <c r="D37" s="38"/>
      <c r="E37" s="14"/>
      <c r="F37" s="14"/>
      <c r="G37" s="7"/>
    </row>
    <row r="38" spans="1:7" ht="15.75" customHeight="1">
      <c r="A38" s="37">
        <v>14</v>
      </c>
      <c r="B38" s="85" t="s">
        <v>40</v>
      </c>
      <c r="C38" s="16">
        <f>C35*((C26*C30-C27)-C36*(C26*C30+C27))/C14</f>
        <v>-1.7892154649355316</v>
      </c>
      <c r="D38" s="38" t="s">
        <v>25</v>
      </c>
      <c r="E38" s="14"/>
      <c r="F38" s="14"/>
      <c r="G38" s="14"/>
    </row>
    <row r="39" spans="1:7" ht="15.75" customHeight="1">
      <c r="A39" s="37">
        <v>15</v>
      </c>
      <c r="B39" s="85" t="s">
        <v>44</v>
      </c>
      <c r="C39" s="16">
        <f>-C35*((C26*C30-C27)+C36*(C26*C30+C27))/C15</f>
        <v>14.902087144930055</v>
      </c>
      <c r="D39" s="38" t="s">
        <v>25</v>
      </c>
      <c r="E39" s="14"/>
      <c r="F39" s="14"/>
      <c r="G39" s="14"/>
    </row>
    <row r="40" spans="1:7" ht="15.75" customHeight="1">
      <c r="A40" s="37">
        <v>16</v>
      </c>
      <c r="B40" s="85" t="s">
        <v>41</v>
      </c>
      <c r="C40" s="16">
        <f>C35*C37*(C30+C26*C27)/C14</f>
        <v>38.15358136347064</v>
      </c>
      <c r="D40" s="38" t="s">
        <v>25</v>
      </c>
      <c r="E40" s="14"/>
      <c r="F40" s="14"/>
      <c r="G40" s="14"/>
    </row>
    <row r="41" spans="1:7" ht="15.75" customHeight="1">
      <c r="A41" s="37">
        <v>17</v>
      </c>
      <c r="B41" s="85" t="s">
        <v>43</v>
      </c>
      <c r="C41" s="16">
        <f>C35*C37*(C30+C26*C27)/C15</f>
        <v>25.040709683476123</v>
      </c>
      <c r="D41" s="38" t="s">
        <v>25</v>
      </c>
      <c r="E41" s="14"/>
      <c r="F41" s="15"/>
      <c r="G41" s="14"/>
    </row>
    <row r="42" spans="1:7" ht="15.75" customHeight="1">
      <c r="A42" s="37">
        <v>18</v>
      </c>
      <c r="B42" s="85" t="s">
        <v>52</v>
      </c>
      <c r="C42" s="16">
        <f>SQRT(C38^2+(C40-C19)^2)</f>
        <v>8.55801551469158</v>
      </c>
      <c r="D42" s="38" t="s">
        <v>25</v>
      </c>
      <c r="F42" s="14"/>
      <c r="G42" s="14"/>
    </row>
    <row r="43" spans="1:7" ht="15.75" customHeight="1">
      <c r="A43" s="37">
        <v>19</v>
      </c>
      <c r="B43" s="85" t="s">
        <v>45</v>
      </c>
      <c r="C43" s="16">
        <f>SQRT(C39^2+(C41-C20)^2)</f>
        <v>14.929918321252059</v>
      </c>
      <c r="D43" s="38" t="s">
        <v>25</v>
      </c>
      <c r="F43" s="14"/>
      <c r="G43" s="14"/>
    </row>
    <row r="44" spans="1:7" ht="15.75" customHeight="1">
      <c r="A44" s="37">
        <v>20</v>
      </c>
      <c r="B44" s="85" t="s">
        <v>46</v>
      </c>
      <c r="C44" s="16">
        <f>SQRT(2*D14/G14+C42^2)</f>
        <v>13.953711857524455</v>
      </c>
      <c r="D44" s="38" t="s">
        <v>25</v>
      </c>
      <c r="E44" s="14"/>
      <c r="F44" s="14"/>
      <c r="G44" s="14"/>
    </row>
    <row r="45" spans="1:4" ht="15.75" customHeight="1">
      <c r="A45" s="37">
        <v>21</v>
      </c>
      <c r="B45" s="85" t="s">
        <v>47</v>
      </c>
      <c r="C45" s="16">
        <f>SQRT(2*D15/G15+C43^2)</f>
        <v>15.648870611106835</v>
      </c>
      <c r="D45" s="38" t="s">
        <v>25</v>
      </c>
    </row>
    <row r="46" spans="1:4" ht="15.75" customHeight="1">
      <c r="A46" s="37">
        <v>22</v>
      </c>
      <c r="B46" s="86" t="s">
        <v>48</v>
      </c>
      <c r="C46" s="16">
        <f>ABS(C44-C21)</f>
        <v>6.160559573207253</v>
      </c>
      <c r="D46" s="38" t="s">
        <v>25</v>
      </c>
    </row>
    <row r="47" spans="1:4" ht="15.75" customHeight="1">
      <c r="A47" s="37">
        <v>23</v>
      </c>
      <c r="B47" s="85" t="s">
        <v>49</v>
      </c>
      <c r="C47" s="16">
        <f>ABS(C22-C45)</f>
        <v>12.333400031844718</v>
      </c>
      <c r="D47" s="38" t="s">
        <v>25</v>
      </c>
    </row>
    <row r="48" spans="1:4" ht="15.75" customHeight="1" thickBot="1">
      <c r="A48" s="40" t="s">
        <v>164</v>
      </c>
      <c r="B48" s="87" t="s">
        <v>50</v>
      </c>
      <c r="C48" s="41">
        <f>C46+C47</f>
        <v>18.49395960505197</v>
      </c>
      <c r="D48" s="42" t="s">
        <v>25</v>
      </c>
    </row>
    <row r="49" ht="15.75" customHeight="1">
      <c r="A49" t="s">
        <v>165</v>
      </c>
    </row>
    <row r="50" spans="1:4" ht="15.75" customHeight="1">
      <c r="A50" s="113" t="s">
        <v>157</v>
      </c>
      <c r="B50" s="114"/>
      <c r="C50" s="114"/>
      <c r="D50" s="114"/>
    </row>
    <row r="51" spans="1:4" ht="12.75">
      <c r="A51" s="114"/>
      <c r="B51" s="114"/>
      <c r="C51" s="114"/>
      <c r="D51" s="114"/>
    </row>
    <row r="52" spans="1:4" ht="12.75">
      <c r="A52" s="27"/>
      <c r="B52" s="27"/>
      <c r="C52" s="27"/>
      <c r="D52" s="27"/>
    </row>
  </sheetData>
  <mergeCells count="19">
    <mergeCell ref="P9:P11"/>
    <mergeCell ref="A8:D10"/>
    <mergeCell ref="G12:G13"/>
    <mergeCell ref="B12:B13"/>
    <mergeCell ref="C12:C13"/>
    <mergeCell ref="A12:A13"/>
    <mergeCell ref="F12:F13"/>
    <mergeCell ref="D12:D13"/>
    <mergeCell ref="E12:E13"/>
    <mergeCell ref="H14:H15"/>
    <mergeCell ref="I14:I15"/>
    <mergeCell ref="A50:D51"/>
    <mergeCell ref="Q1:S1"/>
    <mergeCell ref="O1:O2"/>
    <mergeCell ref="L1:L2"/>
    <mergeCell ref="M1:M2"/>
    <mergeCell ref="N1:N2"/>
    <mergeCell ref="A7:D7"/>
    <mergeCell ref="A6:D6"/>
  </mergeCells>
  <printOptions/>
  <pageMargins left="0.5" right="0.5" top="0.5" bottom="0.5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24"/>
  <sheetViews>
    <sheetView workbookViewId="0" topLeftCell="A1">
      <selection activeCell="H60" sqref="H60"/>
    </sheetView>
  </sheetViews>
  <sheetFormatPr defaultColWidth="9.140625" defaultRowHeight="12.75"/>
  <cols>
    <col min="1" max="1" width="21.57421875" style="0" customWidth="1"/>
    <col min="2" max="2" width="14.140625" style="0" bestFit="1" customWidth="1"/>
    <col min="3" max="3" width="13.7109375" style="0" bestFit="1" customWidth="1"/>
    <col min="4" max="4" width="13.140625" style="0" customWidth="1"/>
    <col min="5" max="5" width="16.140625" style="0" customWidth="1"/>
    <col min="6" max="6" width="15.7109375" style="0" customWidth="1"/>
    <col min="7" max="7" width="9.421875" style="0" bestFit="1" customWidth="1"/>
    <col min="8" max="8" width="9.00390625" style="0" customWidth="1"/>
    <col min="9" max="9" width="11.57421875" style="0" customWidth="1"/>
    <col min="11" max="11" width="10.00390625" style="0" customWidth="1"/>
    <col min="12" max="12" width="9.7109375" style="0" customWidth="1"/>
    <col min="13" max="13" width="13.57421875" style="0" customWidth="1"/>
    <col min="14" max="14" width="9.28125" style="0" customWidth="1"/>
    <col min="15" max="15" width="10.00390625" style="0" customWidth="1"/>
    <col min="16" max="16" width="12.7109375" style="0" customWidth="1"/>
    <col min="17" max="17" width="10.00390625" style="0" customWidth="1"/>
    <col min="18" max="18" width="12.57421875" style="0" customWidth="1"/>
    <col min="19" max="19" width="10.140625" style="0" customWidth="1"/>
    <col min="20" max="20" width="10.00390625" style="0" customWidth="1"/>
    <col min="21" max="21" width="9.7109375" style="0" customWidth="1"/>
    <col min="22" max="23" width="10.00390625" style="0" customWidth="1"/>
    <col min="24" max="24" width="9.8515625" style="0" customWidth="1"/>
    <col min="25" max="25" width="10.140625" style="0" customWidth="1"/>
    <col min="26" max="26" width="9.8515625" style="0" customWidth="1"/>
    <col min="41" max="43" width="9.57421875" style="0" bestFit="1" customWidth="1"/>
    <col min="44" max="44" width="11.140625" style="0" customWidth="1"/>
    <col min="45" max="45" width="14.8515625" style="0" customWidth="1"/>
    <col min="46" max="46" width="11.00390625" style="0" customWidth="1"/>
    <col min="47" max="47" width="10.8515625" style="0" customWidth="1"/>
    <col min="48" max="48" width="10.7109375" style="0" customWidth="1"/>
    <col min="49" max="49" width="10.57421875" style="0" customWidth="1"/>
    <col min="50" max="50" width="10.00390625" style="0" customWidth="1"/>
    <col min="51" max="51" width="10.140625" style="0" customWidth="1"/>
    <col min="52" max="52" width="10.00390625" style="0" customWidth="1"/>
    <col min="53" max="53" width="10.8515625" style="0" customWidth="1"/>
    <col min="54" max="54" width="11.140625" style="0" customWidth="1"/>
    <col min="55" max="55" width="10.421875" style="0" customWidth="1"/>
    <col min="56" max="56" width="10.57421875" style="0" customWidth="1"/>
    <col min="57" max="58" width="10.28125" style="0" customWidth="1"/>
    <col min="59" max="59" width="9.7109375" style="0" customWidth="1"/>
    <col min="60" max="60" width="9.8515625" style="0" customWidth="1"/>
    <col min="61" max="61" width="10.140625" style="0" customWidth="1"/>
    <col min="101" max="101" width="11.140625" style="0" customWidth="1"/>
  </cols>
  <sheetData>
    <row r="1" ht="12.75">
      <c r="A1" t="s">
        <v>155</v>
      </c>
    </row>
    <row r="3" s="21" customFormat="1" ht="13.5" thickBot="1">
      <c r="A3" s="20" t="s">
        <v>156</v>
      </c>
    </row>
    <row r="4" spans="1:2" ht="12.75">
      <c r="A4" s="50" t="s">
        <v>75</v>
      </c>
      <c r="B4" s="51">
        <f>'Live Calc'!R6</f>
        <v>149597870.7</v>
      </c>
    </row>
    <row r="5" spans="1:2" ht="13.5" thickBot="1">
      <c r="A5" s="52" t="s">
        <v>76</v>
      </c>
      <c r="B5" s="53">
        <f>'Live Calc'!R2</f>
        <v>132712441000</v>
      </c>
    </row>
    <row r="6" spans="2:3" ht="12.75">
      <c r="B6" s="23"/>
      <c r="C6" s="23"/>
    </row>
    <row r="7" spans="1:3" s="21" customFormat="1" ht="13.5" thickBot="1">
      <c r="A7" s="20" t="s">
        <v>159</v>
      </c>
      <c r="B7" s="24"/>
      <c r="C7" s="24"/>
    </row>
    <row r="8" spans="1:3" ht="12.75">
      <c r="A8" s="50" t="s">
        <v>77</v>
      </c>
      <c r="B8" s="56">
        <f>C8/'Live Calc'!R6</f>
        <v>1.00000011</v>
      </c>
      <c r="C8" s="57">
        <f>'Live Calc'!C14</f>
        <v>149597887.15576577</v>
      </c>
    </row>
    <row r="9" spans="1:10" ht="12.75">
      <c r="A9" s="58" t="s">
        <v>82</v>
      </c>
      <c r="B9" s="54">
        <f>C9/'Live Calc'!R6</f>
        <v>1.52366231</v>
      </c>
      <c r="C9" s="59">
        <f>'Live Calc'!C15</f>
        <v>227936637.24184328</v>
      </c>
      <c r="J9" s="27"/>
    </row>
    <row r="10" spans="1:11" s="30" customFormat="1" ht="12.75">
      <c r="A10" s="60" t="s">
        <v>121</v>
      </c>
      <c r="B10" s="55">
        <f>'Live Calc'!I14</f>
        <v>90</v>
      </c>
      <c r="C10" s="61">
        <f>B10/180*PI()</f>
        <v>1.5707963267948966</v>
      </c>
      <c r="D10" s="31"/>
      <c r="E10" s="31"/>
      <c r="F10" s="31"/>
      <c r="H10" s="31"/>
      <c r="I10" s="31"/>
      <c r="J10" s="31"/>
      <c r="K10" s="31"/>
    </row>
    <row r="11" spans="1:9" ht="13.5" thickBot="1">
      <c r="A11" s="52" t="s">
        <v>123</v>
      </c>
      <c r="B11" s="62">
        <f>'Live Calc'!H14</f>
        <v>95</v>
      </c>
      <c r="C11" s="42">
        <f>B11*86400</f>
        <v>8208000</v>
      </c>
      <c r="D11" s="27"/>
      <c r="E11" s="27"/>
      <c r="F11" s="27"/>
      <c r="H11" s="27"/>
      <c r="I11" s="27"/>
    </row>
    <row r="12" spans="2:9" ht="13.5" thickBot="1">
      <c r="B12" s="26"/>
      <c r="C12" s="27"/>
      <c r="D12" s="27"/>
      <c r="E12" s="27"/>
      <c r="F12" s="27"/>
      <c r="G12" s="27"/>
      <c r="H12" s="27"/>
      <c r="I12" s="27"/>
    </row>
    <row r="13" spans="1:9" ht="12.75">
      <c r="A13" s="50" t="s">
        <v>136</v>
      </c>
      <c r="B13" s="63">
        <f>'Live Calc'!D14</f>
        <v>398600.4356</v>
      </c>
      <c r="C13" s="27"/>
      <c r="D13" s="27"/>
      <c r="E13" s="27"/>
      <c r="F13" s="27"/>
      <c r="G13" s="27"/>
      <c r="H13" s="27"/>
      <c r="I13" s="27"/>
    </row>
    <row r="14" spans="1:9" ht="12.75">
      <c r="A14" s="58" t="s">
        <v>137</v>
      </c>
      <c r="B14" s="64">
        <f>'Live Calc'!D15</f>
        <v>42828.37522</v>
      </c>
      <c r="C14" s="27"/>
      <c r="D14" s="27"/>
      <c r="E14" s="27"/>
      <c r="F14" s="27"/>
      <c r="G14" s="27"/>
      <c r="H14" s="31"/>
      <c r="I14" s="27"/>
    </row>
    <row r="15" spans="1:9" ht="12.75">
      <c r="A15" s="58" t="s">
        <v>138</v>
      </c>
      <c r="B15" s="59">
        <f>'Live Calc'!E14</f>
        <v>6378.1366</v>
      </c>
      <c r="C15" s="27"/>
      <c r="D15" s="27"/>
      <c r="E15" s="27"/>
      <c r="F15" s="27"/>
      <c r="G15" s="27"/>
      <c r="H15" s="27"/>
      <c r="I15" s="27"/>
    </row>
    <row r="16" spans="1:9" ht="12.75">
      <c r="A16" s="58" t="s">
        <v>139</v>
      </c>
      <c r="B16" s="59">
        <f>'Live Calc'!E15</f>
        <v>3396.2</v>
      </c>
      <c r="C16" s="27"/>
      <c r="D16" s="27"/>
      <c r="E16" s="27"/>
      <c r="F16" s="27"/>
      <c r="G16" s="27"/>
      <c r="H16" s="27"/>
      <c r="I16" s="27"/>
    </row>
    <row r="17" spans="1:9" ht="12.75">
      <c r="A17" s="58" t="s">
        <v>140</v>
      </c>
      <c r="B17" s="59">
        <f>1.1*$B$15</f>
        <v>7015.9502600000005</v>
      </c>
      <c r="C17" s="27"/>
      <c r="D17" s="27"/>
      <c r="E17" s="27"/>
      <c r="F17" s="27"/>
      <c r="G17" s="27"/>
      <c r="H17" s="27"/>
      <c r="I17" s="27"/>
    </row>
    <row r="18" spans="1:9" ht="13.5" thickBot="1">
      <c r="A18" s="52" t="s">
        <v>141</v>
      </c>
      <c r="B18" s="65">
        <f>1.1*$B$16</f>
        <v>3735.82</v>
      </c>
      <c r="C18" s="27"/>
      <c r="D18" s="27"/>
      <c r="E18" s="27"/>
      <c r="F18" s="27"/>
      <c r="G18" s="27"/>
      <c r="H18" s="27"/>
      <c r="I18" s="27"/>
    </row>
    <row r="19" spans="2:9" ht="13.5" thickBot="1">
      <c r="B19" s="28"/>
      <c r="C19" s="27"/>
      <c r="D19" s="27"/>
      <c r="E19" s="27"/>
      <c r="F19" s="27"/>
      <c r="G19" s="27"/>
      <c r="H19" s="27"/>
      <c r="I19" s="27"/>
    </row>
    <row r="20" spans="1:9" ht="12.75">
      <c r="A20" s="50" t="s">
        <v>142</v>
      </c>
      <c r="B20" s="63">
        <f>SQRT($B$13/$B$17)</f>
        <v>7.537470645117627</v>
      </c>
      <c r="C20" s="27"/>
      <c r="F20" s="27"/>
      <c r="G20" s="27"/>
      <c r="H20" s="27"/>
      <c r="I20" s="27"/>
    </row>
    <row r="21" spans="1:9" ht="12.75">
      <c r="A21" s="58" t="s">
        <v>143</v>
      </c>
      <c r="B21" s="66">
        <f>SQRT($B$14/$B$18)</f>
        <v>3.3858898697577122</v>
      </c>
      <c r="C21" s="27"/>
      <c r="F21" s="27"/>
      <c r="G21" s="27"/>
      <c r="H21" s="27"/>
      <c r="I21" s="27"/>
    </row>
    <row r="22" spans="1:9" ht="12.75">
      <c r="A22" s="58" t="s">
        <v>144</v>
      </c>
      <c r="B22" s="66">
        <f>2*$B$13/$B$17</f>
        <v>113.62692745201987</v>
      </c>
      <c r="C22" s="27"/>
      <c r="F22" s="27"/>
      <c r="G22" s="27"/>
      <c r="H22" s="27"/>
      <c r="I22" s="27"/>
    </row>
    <row r="23" spans="1:9" ht="12.75">
      <c r="A23" s="58" t="s">
        <v>150</v>
      </c>
      <c r="B23" s="66">
        <f>2*$B$14/$B$18</f>
        <v>22.928500420255794</v>
      </c>
      <c r="C23" s="27"/>
      <c r="F23" s="27"/>
      <c r="G23" s="27"/>
      <c r="H23" s="27"/>
      <c r="I23" s="27"/>
    </row>
    <row r="24" spans="1:2" ht="12.75">
      <c r="A24" s="58" t="s">
        <v>129</v>
      </c>
      <c r="B24" s="67">
        <f>SQRT($B$5/$C$8)</f>
        <v>29.784690303734155</v>
      </c>
    </row>
    <row r="25" spans="1:2" ht="13.5" thickBot="1">
      <c r="A25" s="52" t="s">
        <v>128</v>
      </c>
      <c r="B25" s="68">
        <f>SQRT($B$5/$C$9)</f>
        <v>24.129523750656546</v>
      </c>
    </row>
    <row r="27" s="21" customFormat="1" ht="13.5" thickBot="1">
      <c r="A27" s="20" t="s">
        <v>160</v>
      </c>
    </row>
    <row r="28" spans="1:2" ht="12.75">
      <c r="A28" s="50" t="s">
        <v>108</v>
      </c>
      <c r="B28" s="70">
        <f>($B$8+$B$9)/2</f>
        <v>1.26183121</v>
      </c>
    </row>
    <row r="29" spans="1:2" ht="12.75">
      <c r="A29" s="58" t="s">
        <v>151</v>
      </c>
      <c r="B29" s="71">
        <f>PI()*SQRT(POWER(B28*$B$4,3)/$B$5)</f>
        <v>22365781.078759037</v>
      </c>
    </row>
    <row r="30" spans="1:2" ht="13.5" thickBot="1">
      <c r="A30" s="52" t="s">
        <v>152</v>
      </c>
      <c r="B30" s="68">
        <f>B29/86400</f>
        <v>258.86320693008145</v>
      </c>
    </row>
    <row r="32" s="21" customFormat="1" ht="13.5" thickBot="1">
      <c r="A32" s="20" t="s">
        <v>161</v>
      </c>
    </row>
    <row r="33" spans="1:2" ht="12.75">
      <c r="A33" s="50" t="s">
        <v>122</v>
      </c>
      <c r="B33" s="70">
        <f>$C$10/2</f>
        <v>0.7853981633974483</v>
      </c>
    </row>
    <row r="34" spans="1:2" ht="12.75">
      <c r="A34" s="58" t="s">
        <v>78</v>
      </c>
      <c r="B34" s="38">
        <f>SQRT($C$8*$C$8+$C$9*$C$9-2*$C$8*$C$9*COS($C$10))</f>
        <v>272643794.0584544</v>
      </c>
    </row>
    <row r="35" spans="1:2" ht="12.75">
      <c r="A35" s="58" t="s">
        <v>79</v>
      </c>
      <c r="B35" s="38">
        <f>($C$8+$C$9+$B$34)/2</f>
        <v>325089159.22803175</v>
      </c>
    </row>
    <row r="36" spans="1:2" ht="12.75">
      <c r="A36" s="58" t="s">
        <v>80</v>
      </c>
      <c r="B36" s="71">
        <f>SQRT(8*$B$5/POWER($B$35,3))*$C$11</f>
        <v>1.4428940049563324</v>
      </c>
    </row>
    <row r="37" spans="1:2" ht="12.75">
      <c r="A37" s="58" t="s">
        <v>81</v>
      </c>
      <c r="B37" s="38">
        <f>SQRT($C$8*$C$9)/$B$35*COS($B$33)</f>
        <v>0.40165420052319195</v>
      </c>
    </row>
    <row r="38" spans="1:2" ht="12.75">
      <c r="A38" s="58" t="s">
        <v>96</v>
      </c>
      <c r="B38" s="38">
        <f>$B$37*$B$37</f>
        <v>0.16132609679792448</v>
      </c>
    </row>
    <row r="39" spans="1:2" ht="12.75">
      <c r="A39" s="58" t="s">
        <v>111</v>
      </c>
      <c r="B39" s="38">
        <f>SQRT($B$5*$B$35/2)</f>
        <v>4644533123.134648</v>
      </c>
    </row>
    <row r="40" spans="1:2" ht="12.75">
      <c r="A40" s="58" t="s">
        <v>109</v>
      </c>
      <c r="B40" s="71">
        <f>($C$8-$C$9)/$B$34</f>
        <v>-0.2873300320537713</v>
      </c>
    </row>
    <row r="41" spans="1:2" ht="13.5" thickBot="1">
      <c r="A41" s="52" t="s">
        <v>110</v>
      </c>
      <c r="B41" s="42">
        <f>2*SQRT($C$8*$C$9/$B$34/$B$34)*SIN($B$33)</f>
        <v>0.957831641093558</v>
      </c>
    </row>
    <row r="42" ht="13.5" thickBot="1"/>
    <row r="43" spans="1:6" ht="12.75">
      <c r="A43" s="50" t="s">
        <v>113</v>
      </c>
      <c r="B43" s="63">
        <f aca="true" t="shared" si="0" ref="B43:B48">F100</f>
        <v>-1.78921546493553</v>
      </c>
      <c r="E43" s="19"/>
      <c r="F43" s="22"/>
    </row>
    <row r="44" spans="1:6" ht="12.75">
      <c r="A44" s="58" t="s">
        <v>115</v>
      </c>
      <c r="B44" s="66">
        <f t="shared" si="0"/>
        <v>14.902087144930054</v>
      </c>
      <c r="E44" s="19"/>
      <c r="F44" s="22"/>
    </row>
    <row r="45" spans="1:6" ht="12.75">
      <c r="A45" s="58" t="s">
        <v>114</v>
      </c>
      <c r="B45" s="66">
        <f t="shared" si="0"/>
        <v>38.15358136347064</v>
      </c>
      <c r="E45" s="19"/>
      <c r="F45" s="22"/>
    </row>
    <row r="46" spans="1:6" ht="12.75">
      <c r="A46" s="58" t="s">
        <v>116</v>
      </c>
      <c r="B46" s="66">
        <f t="shared" si="0"/>
        <v>25.040709683476123</v>
      </c>
      <c r="E46" s="19"/>
      <c r="F46" s="22"/>
    </row>
    <row r="47" spans="1:6" ht="12.75">
      <c r="A47" s="58" t="s">
        <v>117</v>
      </c>
      <c r="B47" s="66">
        <f t="shared" si="0"/>
        <v>38.195511029948776</v>
      </c>
      <c r="E47" s="19"/>
      <c r="F47" s="22"/>
    </row>
    <row r="48" spans="1:6" ht="12.75">
      <c r="A48" s="58" t="s">
        <v>118</v>
      </c>
      <c r="B48" s="66">
        <f t="shared" si="0"/>
        <v>29.139480824599886</v>
      </c>
      <c r="E48" s="19"/>
      <c r="F48" s="22"/>
    </row>
    <row r="49" spans="1:6" ht="12.75">
      <c r="A49" s="58" t="s">
        <v>105</v>
      </c>
      <c r="B49" s="72">
        <f>F95</f>
        <v>0</v>
      </c>
      <c r="E49" s="19"/>
      <c r="F49" s="22"/>
    </row>
    <row r="50" spans="1:6" ht="12.75">
      <c r="A50" s="58" t="s">
        <v>119</v>
      </c>
      <c r="B50" s="72">
        <f>F96</f>
        <v>0.7834237463517464</v>
      </c>
      <c r="E50" s="19"/>
      <c r="F50" s="22"/>
    </row>
    <row r="51" spans="1:6" ht="12.75">
      <c r="A51" s="58" t="s">
        <v>112</v>
      </c>
      <c r="B51" s="66">
        <f>F98</f>
        <v>420830404.6013777</v>
      </c>
      <c r="E51" s="19"/>
      <c r="F51" s="22"/>
    </row>
    <row r="52" spans="1:6" ht="13.5" thickBot="1">
      <c r="A52" s="52" t="s">
        <v>108</v>
      </c>
      <c r="B52" s="73">
        <f>F99</f>
        <v>2.8130775032573894</v>
      </c>
      <c r="E52" s="19"/>
      <c r="F52" s="22"/>
    </row>
    <row r="53" spans="5:6" ht="12.75">
      <c r="E53" s="19"/>
      <c r="F53" s="22"/>
    </row>
    <row r="54" spans="1:6" s="21" customFormat="1" ht="13.5" thickBot="1">
      <c r="A54" s="20" t="s">
        <v>153</v>
      </c>
      <c r="E54" s="29"/>
      <c r="F54" s="24"/>
    </row>
    <row r="55" spans="1:6" ht="12.75">
      <c r="A55" s="50" t="s">
        <v>119</v>
      </c>
      <c r="B55" s="63">
        <v>0</v>
      </c>
      <c r="E55" s="19"/>
      <c r="F55" s="22"/>
    </row>
    <row r="56" spans="1:6" ht="12.75">
      <c r="A56" s="58" t="s">
        <v>84</v>
      </c>
      <c r="B56" s="38">
        <f>B55*B55-1</f>
        <v>-1</v>
      </c>
      <c r="E56" s="19"/>
      <c r="F56" s="22"/>
    </row>
    <row r="57" spans="1:6" ht="12.75">
      <c r="A57" s="58" t="s">
        <v>86</v>
      </c>
      <c r="B57" s="38">
        <f>IF(B56&gt;0,SQRT(B56),SQRT(-B56))</f>
        <v>1</v>
      </c>
      <c r="E57" s="19"/>
      <c r="F57" s="22"/>
    </row>
    <row r="58" spans="1:6" ht="12.75">
      <c r="A58" s="58" t="s">
        <v>88</v>
      </c>
      <c r="B58" s="38">
        <f>SQRT(1-$B$38+$B$38*B55*B55)</f>
        <v>0.9157914081285518</v>
      </c>
      <c r="E58" s="19"/>
      <c r="F58" s="22"/>
    </row>
    <row r="59" spans="1:6" ht="12.75">
      <c r="A59" s="58" t="s">
        <v>90</v>
      </c>
      <c r="B59" s="38">
        <f>B57*(B58-$B$37*B55)</f>
        <v>0.9157914081285518</v>
      </c>
      <c r="E59" s="19"/>
      <c r="F59" s="22"/>
    </row>
    <row r="60" spans="1:6" ht="12.75">
      <c r="A60" s="58" t="s">
        <v>92</v>
      </c>
      <c r="B60" s="38">
        <f>B55*B58-$B$37*B56</f>
        <v>0.40165420052319195</v>
      </c>
      <c r="E60" s="19"/>
      <c r="F60" s="22"/>
    </row>
    <row r="61" spans="1:6" ht="12.75">
      <c r="A61" s="58" t="s">
        <v>124</v>
      </c>
      <c r="B61" s="38">
        <f>SQRT(B59*B59+B60*B60)</f>
        <v>1</v>
      </c>
      <c r="E61" s="19"/>
      <c r="F61" s="22"/>
    </row>
    <row r="62" spans="1:6" ht="12.75">
      <c r="A62" s="58" t="s">
        <v>94</v>
      </c>
      <c r="B62" s="38">
        <f>IF(B56&gt;0,LN(B59+B60),ATAN2(B60/B61,B59/B61))</f>
        <v>1.1574738875788406</v>
      </c>
      <c r="E62" s="19"/>
      <c r="F62" s="22"/>
    </row>
    <row r="63" spans="1:6" ht="13.5" thickBot="1">
      <c r="A63" s="52" t="s">
        <v>125</v>
      </c>
      <c r="B63" s="42">
        <f>2*(B55-$B$37*B58-B62/B57)/B56</f>
        <v>3.0506107069134445</v>
      </c>
      <c r="E63" s="19"/>
      <c r="F63" s="22"/>
    </row>
    <row r="64" spans="5:6" ht="12.75">
      <c r="E64" s="19"/>
      <c r="F64" s="22"/>
    </row>
    <row r="65" spans="1:6" s="21" customFormat="1" ht="13.5" thickBot="1">
      <c r="A65" s="20" t="s">
        <v>154</v>
      </c>
      <c r="E65" s="29"/>
      <c r="F65" s="24"/>
    </row>
    <row r="66" spans="1:6" ht="12.75">
      <c r="A66" s="50" t="s">
        <v>126</v>
      </c>
      <c r="B66" s="74">
        <f>B63-$B$36</f>
        <v>1.6077167019571121</v>
      </c>
      <c r="E66" s="19"/>
      <c r="F66" s="22"/>
    </row>
    <row r="67" spans="1:6" ht="13.5" thickBot="1">
      <c r="A67" s="52" t="s">
        <v>127</v>
      </c>
      <c r="B67" s="42">
        <f>IF(B66&gt;0,B63*B66/4/$B$36,B66/(4-B66))</f>
        <v>0.8497709755233143</v>
      </c>
      <c r="E67" s="19"/>
      <c r="F67" s="22"/>
    </row>
    <row r="68" spans="2:6" ht="12.75">
      <c r="B68" s="22"/>
      <c r="E68" s="19"/>
      <c r="F68" s="22"/>
    </row>
    <row r="69" s="21" customFormat="1" ht="13.5" thickBot="1">
      <c r="A69" s="20" t="s">
        <v>120</v>
      </c>
    </row>
    <row r="70" spans="1:6" ht="12.75">
      <c r="A70" s="50" t="s">
        <v>83</v>
      </c>
      <c r="B70" s="82">
        <v>1</v>
      </c>
      <c r="C70" s="82">
        <v>2</v>
      </c>
      <c r="D70" s="82">
        <v>3</v>
      </c>
      <c r="E70" s="82">
        <v>4</v>
      </c>
      <c r="F70" s="70">
        <v>5</v>
      </c>
    </row>
    <row r="71" spans="1:101" ht="12.75">
      <c r="A71" s="58" t="s">
        <v>107</v>
      </c>
      <c r="B71" s="54">
        <f>B67</f>
        <v>0.8497709755233143</v>
      </c>
      <c r="C71" s="54">
        <f>B96</f>
        <v>0.7805427258716036</v>
      </c>
      <c r="D71" s="54">
        <f>C96</f>
        <v>0.7834183352069959</v>
      </c>
      <c r="E71" s="54">
        <f>D96</f>
        <v>0.7834237463326559</v>
      </c>
      <c r="F71" s="66">
        <f>E96</f>
        <v>0.7834237463517464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</row>
    <row r="72" spans="1:6" ht="12.75">
      <c r="A72" s="58" t="s">
        <v>84</v>
      </c>
      <c r="B72" s="12">
        <f>B71*B71-1</f>
        <v>-0.2778892891581548</v>
      </c>
      <c r="C72" s="12">
        <f>C71*C71-1</f>
        <v>-0.3907530530889267</v>
      </c>
      <c r="D72" s="12">
        <f>D71*D71-1</f>
        <v>-0.386255712061499</v>
      </c>
      <c r="E72" s="12">
        <f>E71*E71-1</f>
        <v>-0.38624723368210645</v>
      </c>
      <c r="F72" s="38">
        <f>F71*F71-1</f>
        <v>-0.3862472336521945</v>
      </c>
    </row>
    <row r="73" spans="1:6" ht="12.75">
      <c r="A73" s="58" t="s">
        <v>85</v>
      </c>
      <c r="B73" s="12">
        <f>2*B71</f>
        <v>1.6995419510466285</v>
      </c>
      <c r="C73" s="12">
        <f>2*C71</f>
        <v>1.5610854517432071</v>
      </c>
      <c r="D73" s="12">
        <f>2*D71</f>
        <v>1.5668366704139918</v>
      </c>
      <c r="E73" s="12">
        <f>2*E71</f>
        <v>1.5668474926653118</v>
      </c>
      <c r="F73" s="38">
        <f>2*F71</f>
        <v>1.5668474927034928</v>
      </c>
    </row>
    <row r="74" spans="1:6" ht="12.75">
      <c r="A74" s="58" t="s">
        <v>86</v>
      </c>
      <c r="B74" s="12">
        <f>IF(B72&gt;0,SQRT(B72),SQRT(-B72))</f>
        <v>0.5271520550639586</v>
      </c>
      <c r="C74" s="12">
        <f>IF(C72&gt;0,SQRT(C72),SQRT(-C72))</f>
        <v>0.6251024340769493</v>
      </c>
      <c r="D74" s="12">
        <f>IF(D72&gt;0,SQRT(D72),SQRT(-D72))</f>
        <v>0.62149474017203</v>
      </c>
      <c r="E74" s="12">
        <f>IF(E72&gt;0,SQRT(E72),SQRT(-E72))</f>
        <v>0.6214879191763155</v>
      </c>
      <c r="F74" s="38">
        <f>IF(F72&gt;0,SQRT(F72),SQRT(-F72))</f>
        <v>0.6214879191522507</v>
      </c>
    </row>
    <row r="75" spans="1:6" ht="12.75">
      <c r="A75" s="58" t="s">
        <v>87</v>
      </c>
      <c r="B75" s="12">
        <f>IF(B72&gt;0,B71/B74,-B71/B74)</f>
        <v>-1.612003533629804</v>
      </c>
      <c r="C75" s="12">
        <f>IF(C72&gt;0,C71/C74,-C71/C74)</f>
        <v>-1.2486637122509106</v>
      </c>
      <c r="D75" s="12">
        <f>IF(D72&gt;0,D71/D74,-D71/D74)</f>
        <v>-1.2605389628722286</v>
      </c>
      <c r="E75" s="12">
        <f>IF(E72&gt;0,E71/E74,-E71/E74)</f>
        <v>-1.260561504350657</v>
      </c>
      <c r="F75" s="38">
        <f>IF(F72&gt;0,F71/F74,-F71/F74)</f>
        <v>-1.2605615044301852</v>
      </c>
    </row>
    <row r="76" spans="1:6" ht="12.75">
      <c r="A76" s="58" t="s">
        <v>88</v>
      </c>
      <c r="B76" s="12">
        <f>SQRT(1-$B$38+$B$38*B71*B71)</f>
        <v>0.977327583586059</v>
      </c>
      <c r="C76" s="12">
        <f>SQRT(1-$B$38+$B$38*C71*C71)</f>
        <v>0.9679676312425387</v>
      </c>
      <c r="D76" s="12">
        <f>SQRT(1-$B$38+$B$38*D71*D71)</f>
        <v>0.9683423328592092</v>
      </c>
      <c r="E76" s="12">
        <f>SQRT(1-$B$38+$B$38*E71*E71)</f>
        <v>0.9683430391091113</v>
      </c>
      <c r="F76" s="38">
        <f>SQRT(1-$B$38+$B$38*F71*F71)</f>
        <v>0.968343039111603</v>
      </c>
    </row>
    <row r="77" spans="1:6" ht="12.75">
      <c r="A77" s="58" t="s">
        <v>89</v>
      </c>
      <c r="B77" s="12">
        <f>$B$38*B71/B76</f>
        <v>0.1402705059754096</v>
      </c>
      <c r="C77" s="12">
        <f>$B$38*C71/C76</f>
        <v>0.1300889691809607</v>
      </c>
      <c r="D77" s="12">
        <f>$B$38*D71/D76</f>
        <v>0.13051770834565835</v>
      </c>
      <c r="E77" s="12">
        <f>$B$38*E71/E76</f>
        <v>0.13051851464841646</v>
      </c>
      <c r="F77" s="38">
        <f>$B$38*F71/F76</f>
        <v>0.13051851465126113</v>
      </c>
    </row>
    <row r="78" spans="1:6" ht="12.75">
      <c r="A78" s="58" t="s">
        <v>90</v>
      </c>
      <c r="B78" s="12">
        <f>B74*(B76-$B$37*B71)</f>
        <v>0.33527582451408655</v>
      </c>
      <c r="C78" s="12">
        <f>C74*(C76-$B$37*C71)</f>
        <v>0.40910414313387133</v>
      </c>
      <c r="D78" s="12">
        <f>D74*(D76-$B$37*D71)</f>
        <v>0.40625810237117926</v>
      </c>
      <c r="E78" s="12">
        <f>E74*(E76-$B$37*E71)</f>
        <v>0.40625273181215843</v>
      </c>
      <c r="F78" s="38">
        <f>F74*(F76-$B$37*F71)</f>
        <v>0.4062527317932109</v>
      </c>
    </row>
    <row r="79" spans="1:6" ht="12.75">
      <c r="A79" s="58" t="s">
        <v>91</v>
      </c>
      <c r="B79" s="12">
        <f>B75*(B76-$B$37*B71)+B74*(B77-$B$37)</f>
        <v>-1.1630449640538392</v>
      </c>
      <c r="C79" s="12">
        <f>C75*(C76-$B$37*C71)+C74*(C77-$B$37)</f>
        <v>-0.9869557494741729</v>
      </c>
      <c r="D79" s="12">
        <f>D75*(D76-$B$37*D71)+D74*(D77-$B$37)</f>
        <v>-0.9924978378780115</v>
      </c>
      <c r="E79" s="12">
        <f>E75*(E76-$B$37*E71)+E74*(E77-$B$37)</f>
        <v>-0.9925083728077045</v>
      </c>
      <c r="F79" s="38">
        <f>F75*(F76-$B$37*F71)+F74*(F77-$B$37)</f>
        <v>-0.9925083728448727</v>
      </c>
    </row>
    <row r="80" spans="1:6" ht="12.75">
      <c r="A80" s="58" t="s">
        <v>92</v>
      </c>
      <c r="B80" s="12">
        <f>B71*B76-$B$37*B72</f>
        <v>0.9421200143805456</v>
      </c>
      <c r="C80" s="12">
        <f>C71*C76-$B$37*C72</f>
        <v>0.9124876985859596</v>
      </c>
      <c r="D80" s="12">
        <f>D71*D76-$B$37*D72</f>
        <v>0.9137583675445979</v>
      </c>
      <c r="E80" s="12">
        <f>E71*E76-$B$37*E72</f>
        <v>0.9137607552828905</v>
      </c>
      <c r="F80" s="38">
        <f>F71*F76-$B$37*F72</f>
        <v>0.9137607552913144</v>
      </c>
    </row>
    <row r="81" spans="1:6" ht="12.75">
      <c r="A81" s="58" t="s">
        <v>93</v>
      </c>
      <c r="B81" s="12">
        <f>B71*B77+B76-$B$37*B73</f>
        <v>0.4138972246826722</v>
      </c>
      <c r="C81" s="12">
        <f>C71*C77+C76-$B$37*C73</f>
        <v>0.4424911007845689</v>
      </c>
      <c r="D81" s="12">
        <f>D71*D77+D76-$B$37*D73</f>
        <v>0.4412657684408453</v>
      </c>
      <c r="E81" s="12">
        <f>E71*E77+E76-$B$37*E73</f>
        <v>0.44126346581249376</v>
      </c>
      <c r="F81" s="38">
        <f>F71*F77+F76-$B$37*F73</f>
        <v>0.44126346580437015</v>
      </c>
    </row>
    <row r="82" spans="1:6" ht="12.75">
      <c r="A82" s="58" t="s">
        <v>124</v>
      </c>
      <c r="B82" s="12">
        <f>SQRT(B78*B78+B80*B80)</f>
        <v>1</v>
      </c>
      <c r="C82" s="12">
        <f>SQRT(C78*C78+C80*C80)</f>
        <v>1</v>
      </c>
      <c r="D82" s="12">
        <f>SQRT(D78*D78+D80*D80)</f>
        <v>1</v>
      </c>
      <c r="E82" s="12">
        <f>SQRT(E78*E78+E80*E80)</f>
        <v>1</v>
      </c>
      <c r="F82" s="38">
        <f>SQRT(F78*F78+F80*F80)</f>
        <v>1</v>
      </c>
    </row>
    <row r="83" spans="1:6" ht="12.75">
      <c r="A83" s="58" t="s">
        <v>94</v>
      </c>
      <c r="B83" s="12">
        <f>IF(B72&gt;0,LN(B78+B80),ATAN2(B80/B82,B78/B82))</f>
        <v>0.3418979848956208</v>
      </c>
      <c r="C83" s="12">
        <f>IF(C72&gt;0,LN(C78+C80),ATAN2(C80/C82,C78/C82))</f>
        <v>0.421472071676448</v>
      </c>
      <c r="D83" s="12">
        <f>IF(D72&gt;0,LN(D78+D80),ATAN2(D80/D82,D78/D82))</f>
        <v>0.41835525350887204</v>
      </c>
      <c r="E83" s="12">
        <f>IF(E72&gt;0,LN(E78+E80),ATAN2(E80/E82,E78/E82))</f>
        <v>0.4183493760776006</v>
      </c>
      <c r="F83" s="38">
        <f>IF(F72&gt;0,LN(F78+F80),ATAN2(F80/F82,F78/F82))</f>
        <v>0.4183493760568649</v>
      </c>
    </row>
    <row r="84" spans="1:6" ht="12.75">
      <c r="A84" s="58" t="s">
        <v>97</v>
      </c>
      <c r="B84" s="12">
        <f>IF(B72&gt;0,B78+B80,1+POWER(B78/B80,2))</f>
        <v>1.126646157704062</v>
      </c>
      <c r="C84" s="12">
        <f>IF(C72&gt;0,C78+C80,1+POWER(C78/C80,2))</f>
        <v>1.2010081741998555</v>
      </c>
      <c r="D84" s="12">
        <f>IF(D72&gt;0,D78+D80,1+POWER(D78/D80,2))</f>
        <v>1.1976702617341863</v>
      </c>
      <c r="E84" s="12">
        <f>IF(E72&gt;0,E78+E80,1+POWER(E78/E80,2))</f>
        <v>1.1976640025040914</v>
      </c>
      <c r="F84" s="38">
        <f>IF(F72&gt;0,F78+F80,1+POWER(F78/F80,2))</f>
        <v>1.1976640024820089</v>
      </c>
    </row>
    <row r="85" spans="1:6" ht="12.75">
      <c r="A85" s="58" t="s">
        <v>98</v>
      </c>
      <c r="B85" s="12">
        <f>IF(B72&gt;0,B79+B81,(B80*B79-B78*B81)/B80/B80)</f>
        <v>-1.3908420583229835</v>
      </c>
      <c r="C85" s="12">
        <f>IF(C72&gt;0,C79+C81,(C80*C79-C78*C81)/C80/C80)</f>
        <v>-1.2990223589083953</v>
      </c>
      <c r="D85" s="12">
        <f>IF(D72&gt;0,D79+D81,(D80*D79-D78*D81)/D80/D80)</f>
        <v>-1.3008747032939818</v>
      </c>
      <c r="E85" s="12">
        <f>IF(E72&gt;0,E79+E81,(E80*E79-E78*E81)/E80/E80)</f>
        <v>-1.300878313522769</v>
      </c>
      <c r="F85" s="38">
        <f>IF(F72&gt;0,F79+F81,(F80*F79-F78*F81)/F80/F80)</f>
        <v>-1.3008783135355073</v>
      </c>
    </row>
    <row r="86" spans="1:6" ht="12.75">
      <c r="A86" s="58" t="s">
        <v>95</v>
      </c>
      <c r="B86" s="12">
        <f>B85/B84</f>
        <v>-1.234497671529199</v>
      </c>
      <c r="C86" s="12">
        <f>C85/C84</f>
        <v>-1.0816099230747032</v>
      </c>
      <c r="D86" s="12">
        <f>D85/D84</f>
        <v>-1.0861709978590925</v>
      </c>
      <c r="E86" s="12">
        <f>E85/E84</f>
        <v>-1.086179688796587</v>
      </c>
      <c r="F86" s="38">
        <f>F85/F84</f>
        <v>-1.0861796888272501</v>
      </c>
    </row>
    <row r="87" spans="1:6" ht="12.75">
      <c r="A87" s="83"/>
      <c r="B87" s="12"/>
      <c r="C87" s="12"/>
      <c r="D87" s="12"/>
      <c r="E87" s="12"/>
      <c r="F87" s="38"/>
    </row>
    <row r="88" spans="1:6" ht="12.75">
      <c r="A88" s="58" t="s">
        <v>99</v>
      </c>
      <c r="B88" s="12">
        <f>2*(B71-$B$37*B76-B83/B74)</f>
        <v>-0.3827048003416419</v>
      </c>
      <c r="C88" s="12">
        <f>2*(C71-$B$37*C76-C83/C74)</f>
        <v>-0.5649806976764399</v>
      </c>
      <c r="D88" s="12">
        <f>2*(D71-$B$37*D76-D83/D74)</f>
        <v>-0.5573282110349291</v>
      </c>
      <c r="E88" s="12">
        <f>2*(E71-$B$37*E76-E83/E74)</f>
        <v>-0.5573138179184982</v>
      </c>
      <c r="F88" s="38">
        <f>2*(F71-$B$37*F76-F83/F74)</f>
        <v>-0.5573138178677196</v>
      </c>
    </row>
    <row r="89" spans="1:6" ht="12.75">
      <c r="A89" s="58" t="s">
        <v>100</v>
      </c>
      <c r="B89" s="12">
        <f>B72</f>
        <v>-0.2778892891581548</v>
      </c>
      <c r="C89" s="12">
        <f>C72</f>
        <v>-0.3907530530889267</v>
      </c>
      <c r="D89" s="12">
        <f>D72</f>
        <v>-0.386255712061499</v>
      </c>
      <c r="E89" s="12">
        <f>E72</f>
        <v>-0.38624723368210645</v>
      </c>
      <c r="F89" s="38">
        <f>F72</f>
        <v>-0.3862472336521945</v>
      </c>
    </row>
    <row r="90" spans="1:101" ht="12.75">
      <c r="A90" s="58" t="s">
        <v>101</v>
      </c>
      <c r="B90" s="69">
        <f>$B$36-B88/B89</f>
        <v>0.06570958197616639</v>
      </c>
      <c r="C90" s="69">
        <f>$B$36-C88/C89</f>
        <v>-0.0029825997438306384</v>
      </c>
      <c r="D90" s="69">
        <f>$B$36-D88/D89</f>
        <v>-5.591428645423946E-06</v>
      </c>
      <c r="E90" s="69">
        <f>$B$36-E88/E89</f>
        <v>-1.972644270153978E-11</v>
      </c>
      <c r="F90" s="71">
        <f>$B$36-F88/F89</f>
        <v>0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</row>
    <row r="91" spans="1:6" ht="12.75">
      <c r="A91" s="58" t="s">
        <v>102</v>
      </c>
      <c r="B91" s="12">
        <f>2*(1-$B$37*B77-(B74*B86-B83*B75)/B74/B74)</f>
        <v>2.6043476976704842</v>
      </c>
      <c r="C91" s="12">
        <f>2*(1-$B$37*C77-(C74*C86-C83*C75)/C74/C74)</f>
        <v>2.662428410040296</v>
      </c>
      <c r="D91" s="12">
        <f>2*(1-$B$37*D77-(D74*D86-D83*D75)/D74/D74)</f>
        <v>2.6599140571304565</v>
      </c>
      <c r="E91" s="12">
        <f>2*(1-$B$37*E77-(E74*E86-E83*E75)/E74/E74)</f>
        <v>2.6599093344423888</v>
      </c>
      <c r="F91" s="38">
        <f>2*(1-$B$37*F77-(F74*F86-F83*F75)/F74/F74)</f>
        <v>2.6599093344257274</v>
      </c>
    </row>
    <row r="92" spans="1:6" ht="12.75">
      <c r="A92" s="58" t="s">
        <v>103</v>
      </c>
      <c r="B92" s="12">
        <f>B73</f>
        <v>1.6995419510466285</v>
      </c>
      <c r="C92" s="12">
        <f>C73</f>
        <v>1.5610854517432071</v>
      </c>
      <c r="D92" s="12">
        <f>D73</f>
        <v>1.5668366704139918</v>
      </c>
      <c r="E92" s="12">
        <f>E73</f>
        <v>1.5668474926653118</v>
      </c>
      <c r="F92" s="38">
        <f>F73</f>
        <v>1.5668474927034928</v>
      </c>
    </row>
    <row r="93" spans="1:6" ht="12.75">
      <c r="A93" s="58" t="s">
        <v>104</v>
      </c>
      <c r="B93" s="12">
        <f>-(B89*B91-B88*B92)/B89/B89</f>
        <v>0.9491729504465766</v>
      </c>
      <c r="C93" s="12">
        <f>-(C89*C91-C88*C92)/C89/C89</f>
        <v>1.0372061695312524</v>
      </c>
      <c r="D93" s="12">
        <f>-(D89*D91-D88*D92)/D89/D89</f>
        <v>1.0333207906718986</v>
      </c>
      <c r="E93" s="12">
        <f>-(E89*E91-E88*E92)/E89/E89</f>
        <v>1.0333134991261193</v>
      </c>
      <c r="F93" s="38">
        <f>-(F89*F91-F88*F92)/F89/F89</f>
        <v>1.03331349910039</v>
      </c>
    </row>
    <row r="94" spans="1:6" ht="12.75">
      <c r="A94" s="83"/>
      <c r="B94" s="12"/>
      <c r="C94" s="12"/>
      <c r="D94" s="12"/>
      <c r="E94" s="12"/>
      <c r="F94" s="38"/>
    </row>
    <row r="95" spans="1:101" ht="12.75">
      <c r="A95" s="58" t="s">
        <v>105</v>
      </c>
      <c r="B95" s="69">
        <f>-B90/B93</f>
        <v>-0.06922824965171065</v>
      </c>
      <c r="C95" s="69">
        <f>-C90/C93</f>
        <v>0.0028756093353923774</v>
      </c>
      <c r="D95" s="69">
        <f>-D90/D93</f>
        <v>5.411125660007497E-06</v>
      </c>
      <c r="E95" s="69">
        <f>-E90/E93</f>
        <v>1.909047227024768E-11</v>
      </c>
      <c r="F95" s="71">
        <f>-F90/F93</f>
        <v>0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</row>
    <row r="96" spans="1:101" ht="12.75">
      <c r="A96" s="58" t="s">
        <v>106</v>
      </c>
      <c r="B96" s="54">
        <f>B71+B95</f>
        <v>0.7805427258716036</v>
      </c>
      <c r="C96" s="54">
        <f>C71+C95</f>
        <v>0.7834183352069959</v>
      </c>
      <c r="D96" s="54">
        <f>D71+D95</f>
        <v>0.7834237463326559</v>
      </c>
      <c r="E96" s="54">
        <f>E71+E95</f>
        <v>0.7834237463517464</v>
      </c>
      <c r="F96" s="66">
        <f>F71+F95</f>
        <v>0.7834237463517464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</row>
    <row r="97" spans="1:6" ht="12.75">
      <c r="A97" s="83"/>
      <c r="B97" s="12"/>
      <c r="C97" s="12"/>
      <c r="D97" s="12"/>
      <c r="E97" s="12"/>
      <c r="F97" s="38"/>
    </row>
    <row r="98" spans="1:101" ht="12.75">
      <c r="A98" s="58" t="s">
        <v>112</v>
      </c>
      <c r="B98" s="69">
        <f>$B$35/2/(1-B96*B96)</f>
        <v>415977759.6850263</v>
      </c>
      <c r="C98" s="69">
        <f>$B$35/2/(1-C96*C96)</f>
        <v>420821167.26894075</v>
      </c>
      <c r="D98" s="69">
        <f>$B$35/2/(1-D96*D96)</f>
        <v>420830404.5687875</v>
      </c>
      <c r="E98" s="69">
        <f>$B$35/2/(1-E96*E96)</f>
        <v>420830404.6013777</v>
      </c>
      <c r="F98" s="71">
        <f>$B$35/2/(1-F96*F96)</f>
        <v>420830404.6013777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</row>
    <row r="99" spans="1:101" ht="12.75">
      <c r="A99" s="58" t="s">
        <v>108</v>
      </c>
      <c r="B99" s="69">
        <f>B98/$B$4</f>
        <v>2.7806395755406053</v>
      </c>
      <c r="C99" s="69">
        <f>C98/$B$4</f>
        <v>2.813015755503937</v>
      </c>
      <c r="D99" s="69">
        <f>D98/$B$4</f>
        <v>2.8130775030395374</v>
      </c>
      <c r="E99" s="69">
        <f>E98/$B$4</f>
        <v>2.8130775032573894</v>
      </c>
      <c r="F99" s="71">
        <f>F98/$B$4</f>
        <v>2.8130775032573894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</row>
    <row r="100" spans="1:101" ht="12.75">
      <c r="A100" s="58" t="s">
        <v>113</v>
      </c>
      <c r="B100" s="54">
        <f>$B$39*(($B$37*B76-B96)-$B$40*($B$37*B76+B96))/$C$8</f>
        <v>-1.581239929277409</v>
      </c>
      <c r="C100" s="54">
        <f>$B$39*(($B$37*C76-C96)-$B$40*($B$37*C76+C96))/$C$8</f>
        <v>-1.7951221961359904</v>
      </c>
      <c r="D100" s="54">
        <f>$B$39*(($B$37*D76-D96)-$B$40*($B$37*D76+D96))/$C$8</f>
        <v>-1.7892268020510271</v>
      </c>
      <c r="E100" s="54">
        <f>$B$39*(($B$37*E76-E96)-$B$40*($B$37*E76+E96))/$C$8</f>
        <v>-1.789215464975531</v>
      </c>
      <c r="F100" s="66">
        <f>$B$39*(($B$37*F76-F96)-$B$40*($B$37*F76+F96))/$C$8</f>
        <v>-1.78921546493553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</row>
    <row r="101" spans="1:101" ht="12.75">
      <c r="A101" s="58" t="s">
        <v>115</v>
      </c>
      <c r="B101" s="54">
        <f>-$B$39*(($B$37*B76-B96)+$B$40*($B$37*B76+B96))/$C$9</f>
        <v>14.774110538902244</v>
      </c>
      <c r="C101" s="54">
        <f>-$B$39*(($B$37*C76-C96)+$B$40*($B$37*C76+C96))/$C$9</f>
        <v>14.904134840952942</v>
      </c>
      <c r="D101" s="54">
        <f>-$B$39*(($B$37*D76-D96)+$B$40*($B$37*D76+D96))/$C$9</f>
        <v>14.902091263778702</v>
      </c>
      <c r="E101" s="54">
        <f>-$B$39*(($B$37*E76-E96)+$B$40*($B$37*E76+E96))/$C$9</f>
        <v>14.902087144944588</v>
      </c>
      <c r="F101" s="66">
        <f>-$B$39*(($B$37*F76-F96)+$B$40*($B$37*F76+F96))/$C$9</f>
        <v>14.902087144930054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</row>
    <row r="102" spans="1:101" ht="12.75">
      <c r="A102" s="58" t="s">
        <v>114</v>
      </c>
      <c r="B102" s="54">
        <f>$B$39*$B$41*(B76+$B$37*B96)/$C$8</f>
        <v>38.38634850594922</v>
      </c>
      <c r="C102" s="54">
        <f>$B$39*$B$41*(C76+$B$37*C96)/$C$8</f>
        <v>38.142353005851874</v>
      </c>
      <c r="D102" s="54">
        <f>$B$39*$B$41*(D76+$B$37*D96)/$C$8</f>
        <v>38.153560360997794</v>
      </c>
      <c r="E102" s="54">
        <f>$B$39*$B$41*(E76+$B$37*E96)/$C$8</f>
        <v>38.15358136339655</v>
      </c>
      <c r="F102" s="66">
        <f>$B$39*$B$41*(F76+$B$37*F96)/$C$8</f>
        <v>38.15358136347064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</row>
    <row r="103" spans="1:101" ht="12.75">
      <c r="A103" s="58" t="s">
        <v>116</v>
      </c>
      <c r="B103" s="54">
        <f>$B$39*$B$41*(B76+$B$37*B96)/$C$9</f>
        <v>25.193477896324392</v>
      </c>
      <c r="C103" s="54">
        <f>$B$39*$B$41*(C76+$B$37*C96)/$C$9</f>
        <v>25.033340361034924</v>
      </c>
      <c r="D103" s="54">
        <f>$B$39*$B$41*(D76+$B$37*D96)/$C$9</f>
        <v>25.04069589927012</v>
      </c>
      <c r="E103" s="54">
        <f>$B$39*$B$41*(E76+$B$37*E96)/$C$9</f>
        <v>25.040709683427494</v>
      </c>
      <c r="F103" s="66">
        <f>$B$39*$B$41*(F76+$B$37*F96)/$C$9</f>
        <v>25.040709683476123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</row>
    <row r="104" spans="1:101" ht="12.75">
      <c r="A104" s="58" t="s">
        <v>117</v>
      </c>
      <c r="B104" s="54">
        <f aca="true" t="shared" si="1" ref="B104:F105">SQRT(B100*B100+B102*B102)</f>
        <v>38.418902526414406</v>
      </c>
      <c r="C104" s="54">
        <f t="shared" si="1"/>
        <v>38.18457223175451</v>
      </c>
      <c r="D104" s="54">
        <f t="shared" si="1"/>
        <v>38.19549058160505</v>
      </c>
      <c r="E104" s="54">
        <f t="shared" si="1"/>
        <v>38.195511029876634</v>
      </c>
      <c r="F104" s="66">
        <f t="shared" si="1"/>
        <v>38.195511029948776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</row>
    <row r="105" spans="1:101" ht="12.75">
      <c r="A105" s="58" t="s">
        <v>118</v>
      </c>
      <c r="B105" s="54">
        <f t="shared" si="1"/>
        <v>29.205918419530793</v>
      </c>
      <c r="C105" s="54">
        <f t="shared" si="1"/>
        <v>29.134195801304134</v>
      </c>
      <c r="D105" s="54">
        <f t="shared" si="1"/>
        <v>29.13947108568913</v>
      </c>
      <c r="E105" s="54">
        <f t="shared" si="1"/>
        <v>29.139480824565528</v>
      </c>
      <c r="F105" s="66">
        <f t="shared" si="1"/>
        <v>29.139480824599886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</row>
    <row r="106" spans="1:6" ht="12.75">
      <c r="A106" s="83"/>
      <c r="B106" s="12"/>
      <c r="C106" s="12"/>
      <c r="D106" s="12"/>
      <c r="E106" s="12"/>
      <c r="F106" s="38"/>
    </row>
    <row r="107" spans="1:6" ht="12.75">
      <c r="A107" s="58" t="s">
        <v>130</v>
      </c>
      <c r="B107" s="54">
        <f aca="true" t="shared" si="2" ref="B107:F108">B100</f>
        <v>-1.581239929277409</v>
      </c>
      <c r="C107" s="54">
        <f t="shared" si="2"/>
        <v>-1.7951221961359904</v>
      </c>
      <c r="D107" s="54">
        <f t="shared" si="2"/>
        <v>-1.7892268020510271</v>
      </c>
      <c r="E107" s="54">
        <f t="shared" si="2"/>
        <v>-1.789215464975531</v>
      </c>
      <c r="F107" s="66">
        <f t="shared" si="2"/>
        <v>-1.78921546493553</v>
      </c>
    </row>
    <row r="108" spans="1:6" ht="12.75">
      <c r="A108" s="58" t="s">
        <v>133</v>
      </c>
      <c r="B108" s="54">
        <f t="shared" si="2"/>
        <v>14.774110538902244</v>
      </c>
      <c r="C108" s="54">
        <f t="shared" si="2"/>
        <v>14.904134840952942</v>
      </c>
      <c r="D108" s="54">
        <f t="shared" si="2"/>
        <v>14.902091263778702</v>
      </c>
      <c r="E108" s="54">
        <f t="shared" si="2"/>
        <v>14.902087144944588</v>
      </c>
      <c r="F108" s="66">
        <f t="shared" si="2"/>
        <v>14.902087144930054</v>
      </c>
    </row>
    <row r="109" spans="1:6" ht="12.75">
      <c r="A109" s="58" t="s">
        <v>131</v>
      </c>
      <c r="B109" s="54">
        <f>B102-$B$24</f>
        <v>8.601658202215066</v>
      </c>
      <c r="C109" s="54">
        <f>C102-$B$24</f>
        <v>8.357662702117718</v>
      </c>
      <c r="D109" s="54">
        <f>D102-$B$24</f>
        <v>8.368870057263639</v>
      </c>
      <c r="E109" s="54">
        <f>E102-$B$24</f>
        <v>8.368891059662392</v>
      </c>
      <c r="F109" s="66">
        <f>F102-$B$24</f>
        <v>8.368891059736487</v>
      </c>
    </row>
    <row r="110" spans="1:6" ht="12.75">
      <c r="A110" s="58" t="s">
        <v>134</v>
      </c>
      <c r="B110" s="54">
        <f>B103-$B$25</f>
        <v>1.0639541456678465</v>
      </c>
      <c r="C110" s="54">
        <f>C103-$B$25</f>
        <v>0.903816610378378</v>
      </c>
      <c r="D110" s="54">
        <f>D103-$B$25</f>
        <v>0.9111721486135735</v>
      </c>
      <c r="E110" s="54">
        <f>E103-$B$25</f>
        <v>0.9111859327709482</v>
      </c>
      <c r="F110" s="66">
        <f>F103-$B$25</f>
        <v>0.9111859328195777</v>
      </c>
    </row>
    <row r="111" spans="1:6" ht="12.75">
      <c r="A111" s="58" t="s">
        <v>132</v>
      </c>
      <c r="B111" s="54">
        <f aca="true" t="shared" si="3" ref="B111:F112">SQRT(B107*B107+B109*B109)</f>
        <v>8.745790046741059</v>
      </c>
      <c r="C111" s="54">
        <f t="shared" si="3"/>
        <v>8.548274067987627</v>
      </c>
      <c r="D111" s="54">
        <f t="shared" si="3"/>
        <v>8.557997346607538</v>
      </c>
      <c r="E111" s="54">
        <f t="shared" si="3"/>
        <v>8.558015514627485</v>
      </c>
      <c r="F111" s="66">
        <f t="shared" si="3"/>
        <v>8.55801551469158</v>
      </c>
    </row>
    <row r="112" spans="1:6" ht="12.75">
      <c r="A112" s="58" t="s">
        <v>135</v>
      </c>
      <c r="B112" s="54">
        <f t="shared" si="3"/>
        <v>14.812371202470796</v>
      </c>
      <c r="C112" s="54">
        <f t="shared" si="3"/>
        <v>14.931514317794536</v>
      </c>
      <c r="D112" s="54">
        <f t="shared" si="3"/>
        <v>14.929921591167135</v>
      </c>
      <c r="E112" s="54">
        <f t="shared" si="3"/>
        <v>14.929918321263596</v>
      </c>
      <c r="F112" s="66">
        <f t="shared" si="3"/>
        <v>14.929918321252057</v>
      </c>
    </row>
    <row r="113" spans="1:6" ht="12.75">
      <c r="A113" s="83"/>
      <c r="B113" s="12"/>
      <c r="C113" s="12"/>
      <c r="D113" s="12"/>
      <c r="E113" s="12"/>
      <c r="F113" s="38"/>
    </row>
    <row r="114" spans="1:6" ht="12.75">
      <c r="A114" s="58" t="s">
        <v>145</v>
      </c>
      <c r="B114" s="54">
        <f>SQRT(B111*B111+$B$22)</f>
        <v>13.788247567899804</v>
      </c>
      <c r="C114" s="54">
        <f>SQRT(C111*C111+$B$22)</f>
        <v>13.663817804458958</v>
      </c>
      <c r="D114" s="54">
        <f>SQRT(D111*D111+$B$22)</f>
        <v>13.669902927108206</v>
      </c>
      <c r="E114" s="54">
        <f>SQRT(E111*E111+$B$22)</f>
        <v>13.669914301144122</v>
      </c>
      <c r="F114" s="66">
        <f>SQRT(F111*F111+$B$22)</f>
        <v>13.66991430118425</v>
      </c>
    </row>
    <row r="115" spans="1:6" ht="12.75">
      <c r="A115" s="58" t="s">
        <v>147</v>
      </c>
      <c r="B115" s="54">
        <f>SQRT(B112*B112+$B$23)</f>
        <v>15.567107665203642</v>
      </c>
      <c r="C115" s="54">
        <f>SQRT(C112*C112+$B$23)</f>
        <v>15.68051721859834</v>
      </c>
      <c r="D115" s="54">
        <f>SQRT(D112*D112+$B$23)</f>
        <v>15.679000578437849</v>
      </c>
      <c r="E115" s="54">
        <f>SQRT(E112*E112+$B$23)</f>
        <v>15.678997464757057</v>
      </c>
      <c r="F115" s="66">
        <f>SQRT(F112*F112+$B$23)</f>
        <v>15.678997464746068</v>
      </c>
    </row>
    <row r="116" spans="1:6" ht="12.75">
      <c r="A116" s="58" t="s">
        <v>146</v>
      </c>
      <c r="B116" s="54">
        <f>B114-$B$20</f>
        <v>6.250776922782177</v>
      </c>
      <c r="C116" s="54">
        <f>C114-$B$20</f>
        <v>6.126347159341331</v>
      </c>
      <c r="D116" s="54">
        <f>D114-$B$20</f>
        <v>6.132432281990579</v>
      </c>
      <c r="E116" s="54">
        <f>E114-$B$20</f>
        <v>6.132443656026495</v>
      </c>
      <c r="F116" s="66">
        <f>F114-$B$20</f>
        <v>6.132443656066623</v>
      </c>
    </row>
    <row r="117" spans="1:6" ht="12.75">
      <c r="A117" s="58" t="s">
        <v>148</v>
      </c>
      <c r="B117" s="54">
        <f>B115-$B$21</f>
        <v>12.18121779544593</v>
      </c>
      <c r="C117" s="54">
        <f>C115-$B$21</f>
        <v>12.294627348840628</v>
      </c>
      <c r="D117" s="54">
        <f>D115-$B$21</f>
        <v>12.293110708680137</v>
      </c>
      <c r="E117" s="54">
        <f>E115-$B$21</f>
        <v>12.293107594999345</v>
      </c>
      <c r="F117" s="66">
        <f>F115-$B$21</f>
        <v>12.293107594988356</v>
      </c>
    </row>
    <row r="118" spans="1:6" ht="13.5" thickBot="1">
      <c r="A118" s="52" t="s">
        <v>149</v>
      </c>
      <c r="B118" s="62">
        <f>B116+B117</f>
        <v>18.431994718228108</v>
      </c>
      <c r="C118" s="62">
        <f>C116+C117</f>
        <v>18.42097450818196</v>
      </c>
      <c r="D118" s="62">
        <f>D116+D117</f>
        <v>18.425542990670717</v>
      </c>
      <c r="E118" s="62">
        <f>E116+E117</f>
        <v>18.42555125102584</v>
      </c>
      <c r="F118" s="84">
        <f>F116+F117</f>
        <v>18.42555125105498</v>
      </c>
    </row>
    <row r="121" spans="1:3" ht="12.75">
      <c r="A121" s="25"/>
      <c r="B121" s="19"/>
      <c r="C121" s="19"/>
    </row>
    <row r="122" spans="1:3" ht="12.75">
      <c r="A122" s="25"/>
      <c r="B122" s="19"/>
      <c r="C122" s="19"/>
    </row>
    <row r="123" spans="1:3" ht="12.75">
      <c r="A123" s="25"/>
      <c r="B123" s="19"/>
      <c r="C123" s="19"/>
    </row>
    <row r="124" spans="1:3" ht="12.75">
      <c r="A124" s="25"/>
      <c r="B124" s="19"/>
      <c r="C124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2011-07-26T05:46:14Z</cp:lastPrinted>
  <dcterms:created xsi:type="dcterms:W3CDTF">2011-07-13T04:41:22Z</dcterms:created>
  <dcterms:modified xsi:type="dcterms:W3CDTF">2011-08-03T01:11:03Z</dcterms:modified>
  <cp:category/>
  <cp:version/>
  <cp:contentType/>
  <cp:contentStatus/>
</cp:coreProperties>
</file>